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1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  <sheet name="груд" sheetId="12" r:id="rId12"/>
  </sheets>
  <definedNames>
    <definedName name="_xlnm.Print_Area" localSheetId="2">'бер'!$A$1:$AE$92</definedName>
    <definedName name="_xlnm.Print_Area" localSheetId="8">'вер'!$A$1:$AE$95</definedName>
    <definedName name="_xlnm.Print_Area" localSheetId="11">'груд'!$A$1:$AE$95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<sst xmlns="http://schemas.openxmlformats.org/spreadsheetml/2006/main" count="1168" uniqueCount="73">
  <si>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</si>
  <si>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</si>
  <si>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</si>
  <si>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</si>
  <si>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</si>
  <si>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</si>
  <si>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</si>
  <si>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</si>
  <si>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</si>
  <si>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</si>
  <si>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</si>
  <si>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</si>
  <si>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</si>
  <si>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</si>
  <si>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</si>
  <si>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</si>
  <si>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</si>
  <si>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</si>
  <si>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</si>
  <si>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</si>
  <si>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</si>
  <si>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</si>
  <si>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</si>
  <si>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</si>
  <si>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</si>
  <si>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</si>
  <si>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</si>
  <si>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</si>
  <si>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</si>
  <si>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</si>
  <si>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</si>
  <si>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</si>
  <si>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</si>
  <si>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</si>
  <si>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</si>
  <si>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</si>
  <si>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</si>
  <si>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</si>
  <si>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</si>
  <si>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</si>
  <si>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</si>
  <si>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</si>
  <si>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</si>
  <si>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</si>
  <si>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</si>
  <si>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</si>
  <si>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</si>
  <si>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</si>
  <si>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</si>
  <si>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</si>
  <si>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</si>
  <si>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</si>
  <si>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</si>
  <si>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</si>
  <si>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</si>
  <si>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</si>
  <si>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</si>
  <si>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</si>
  <si>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</si>
  <si>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</si>
  <si>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</si>
  <si>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</si>
  <si>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</si>
  <si>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</si>
  <si>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</si>
  <si>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</si>
  <si>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</si>
  <si>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</si>
  <si>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</si>
  <si>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</si>
  <si>
    <t>по міському бюджету м.Черкаси у ГРУДНІ 2014 р.</t>
  </si>
  <si>
    <t>надійшло доходів/план видатків
 на грудень</t>
  </si>
  <si>
    <t>інші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</si>
</sst>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47" sqref="V4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34150.3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>
        <v>14391.1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9552.499999999998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>
        <v>639.1</v>
      </c>
      <c r="S8" s="58">
        <v>823.8</v>
      </c>
      <c r="T8" s="58">
        <v>280.2</v>
      </c>
      <c r="U8" s="56">
        <v>356.3</v>
      </c>
      <c r="V8" s="57">
        <v>356.8</v>
      </c>
      <c r="W8" s="57">
        <v>858.8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49314.60000000001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389</v>
      </c>
      <c r="S9" s="25">
        <f t="shared" si="0"/>
        <v>977.4999999999999</v>
      </c>
      <c r="T9" s="25">
        <f t="shared" si="0"/>
        <v>379.7</v>
      </c>
      <c r="U9" s="25">
        <f t="shared" si="0"/>
        <v>356.3</v>
      </c>
      <c r="V9" s="25">
        <f t="shared" si="0"/>
        <v>14744.099999999999</v>
      </c>
      <c r="W9" s="25">
        <f t="shared" si="0"/>
        <v>862.6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43703.600000000006</v>
      </c>
      <c r="AE9" s="51">
        <f>AE10+AE15+AE23+AE31+AE45+AE50+AE51+AE58+AE59+AE68+AE69+AE72+AE84+AE77+AE79+AE78+AE66+AE85+AE87+AE86+AE67+AE38+AE88</f>
        <v>34392.1</v>
      </c>
      <c r="AG9" s="50"/>
    </row>
    <row r="10" spans="1:31" ht="15.75">
      <c r="A10" s="4" t="s">
        <v>4</v>
      </c>
      <c r="B10" s="23">
        <f>3273.8-79.4-22.1+0.1</f>
        <v>3172.4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>
        <v>69</v>
      </c>
      <c r="S10" s="27">
        <v>675.8</v>
      </c>
      <c r="T10" s="27">
        <v>161.3</v>
      </c>
      <c r="U10" s="27"/>
      <c r="V10" s="23">
        <f>805.8-3.8</f>
        <v>802</v>
      </c>
      <c r="W10" s="28">
        <v>26.8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3073.9000000000005</v>
      </c>
      <c r="AE10" s="28">
        <f>B10+C10-AD10</f>
        <v>2436.999999999999</v>
      </c>
    </row>
    <row r="11" spans="1:31" ht="15.75">
      <c r="A11" s="3" t="s">
        <v>5</v>
      </c>
      <c r="B11" s="23">
        <f>2830.5-3-79.4</f>
        <v>2748.1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>
        <v>613.7</v>
      </c>
      <c r="T11" s="27">
        <v>161.3</v>
      </c>
      <c r="U11" s="27"/>
      <c r="V11" s="23">
        <f>786.1-3.8</f>
        <v>782.3000000000001</v>
      </c>
      <c r="W11" s="27"/>
      <c r="X11" s="27"/>
      <c r="Y11" s="27"/>
      <c r="Z11" s="23"/>
      <c r="AA11" s="23"/>
      <c r="AB11" s="23"/>
      <c r="AC11" s="23"/>
      <c r="AD11" s="23">
        <f t="shared" si="1"/>
        <v>2789</v>
      </c>
      <c r="AE11" s="28">
        <f>B11+C11-AD11</f>
        <v>991.5</v>
      </c>
    </row>
    <row r="12" spans="1:31" ht="15.75">
      <c r="A12" s="3" t="s">
        <v>2</v>
      </c>
      <c r="B12" s="37">
        <f>195.8-22.1</f>
        <v>173.70000000000002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>
        <v>12</v>
      </c>
      <c r="T12" s="27"/>
      <c r="U12" s="27"/>
      <c r="V12" s="23">
        <v>4.7</v>
      </c>
      <c r="W12" s="27">
        <v>9.2</v>
      </c>
      <c r="X12" s="27"/>
      <c r="Y12" s="27"/>
      <c r="Z12" s="23"/>
      <c r="AA12" s="23"/>
      <c r="AB12" s="23"/>
      <c r="AC12" s="23"/>
      <c r="AD12" s="23">
        <f t="shared" si="1"/>
        <v>59.400000000000006</v>
      </c>
      <c r="AE12" s="28">
        <f>B12+C12-AD12</f>
        <v>438.5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250.60000000000016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69</v>
      </c>
      <c r="S14" s="23">
        <f t="shared" si="2"/>
        <v>50.09999999999991</v>
      </c>
      <c r="T14" s="23">
        <f t="shared" si="2"/>
        <v>0</v>
      </c>
      <c r="U14" s="23">
        <f t="shared" si="2"/>
        <v>0</v>
      </c>
      <c r="V14" s="23">
        <f t="shared" si="2"/>
        <v>14.999999999999932</v>
      </c>
      <c r="W14" s="23">
        <f t="shared" si="2"/>
        <v>17.6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225.49999999999991</v>
      </c>
      <c r="AE14" s="28">
        <f>AE10-AE11-AE12-AE13</f>
        <v>1006.9999999999991</v>
      </c>
    </row>
    <row r="15" spans="1:31" ht="15" customHeight="1">
      <c r="A15" s="4" t="s">
        <v>6</v>
      </c>
      <c r="B15" s="23">
        <f>20003.7-11.5+5906.4+10.3+1149.6</f>
        <v>27058.499999999996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>
        <v>19</v>
      </c>
      <c r="S15" s="27">
        <v>1.4</v>
      </c>
      <c r="T15" s="27">
        <v>59.6</v>
      </c>
      <c r="U15" s="27">
        <v>115.9</v>
      </c>
      <c r="V15" s="23">
        <v>11651.5</v>
      </c>
      <c r="W15" s="27">
        <v>334.5</v>
      </c>
      <c r="X15" s="27"/>
      <c r="Y15" s="27"/>
      <c r="Z15" s="23"/>
      <c r="AA15" s="23"/>
      <c r="AB15" s="23"/>
      <c r="AC15" s="23"/>
      <c r="AD15" s="28">
        <f t="shared" si="1"/>
        <v>23197</v>
      </c>
      <c r="AE15" s="28">
        <f aca="true" t="shared" si="3" ref="AE15:AE29">B15+C15-AD15</f>
        <v>9529.599999999999</v>
      </c>
    </row>
    <row r="16" spans="1:32" ht="15.75">
      <c r="A16" s="3" t="s">
        <v>5</v>
      </c>
      <c r="B16" s="23">
        <f>12206.2-11.5+5906.4+1149.6</f>
        <v>19250.699999999997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>
        <v>11275.5</v>
      </c>
      <c r="W16" s="27"/>
      <c r="X16" s="27"/>
      <c r="Y16" s="27"/>
      <c r="Z16" s="23"/>
      <c r="AA16" s="23"/>
      <c r="AB16" s="23"/>
      <c r="AC16" s="23"/>
      <c r="AD16" s="28">
        <f t="shared" si="1"/>
        <v>19581.300000000003</v>
      </c>
      <c r="AE16" s="28">
        <f t="shared" si="3"/>
        <v>308.69999999999345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>
        <v>0.9</v>
      </c>
      <c r="W17" s="27">
        <v>2.2</v>
      </c>
      <c r="X17" s="27"/>
      <c r="Y17" s="27"/>
      <c r="Z17" s="23"/>
      <c r="AA17" s="23"/>
      <c r="AB17" s="23"/>
      <c r="AC17" s="23"/>
      <c r="AD17" s="28">
        <f t="shared" si="1"/>
        <v>6.800000000000001</v>
      </c>
      <c r="AE17" s="28">
        <f t="shared" si="3"/>
        <v>14</v>
      </c>
    </row>
    <row r="18" spans="1:31" ht="15.75">
      <c r="A18" s="3" t="s">
        <v>1</v>
      </c>
      <c r="B18" s="23">
        <f>1675.1+19.1-0.2</f>
        <v>1693.9999999999998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>
        <v>14.5</v>
      </c>
      <c r="U18" s="27">
        <v>115.9</v>
      </c>
      <c r="V18" s="23">
        <v>150</v>
      </c>
      <c r="W18" s="27">
        <v>85.5</v>
      </c>
      <c r="X18" s="27"/>
      <c r="Y18" s="27"/>
      <c r="Z18" s="23"/>
      <c r="AA18" s="23"/>
      <c r="AB18" s="23"/>
      <c r="AC18" s="23"/>
      <c r="AD18" s="28">
        <f t="shared" si="1"/>
        <v>1685.5</v>
      </c>
      <c r="AE18" s="28">
        <f t="shared" si="3"/>
        <v>739.0999999999999</v>
      </c>
    </row>
    <row r="19" spans="1:31" ht="15.75">
      <c r="A19" s="3" t="s">
        <v>2</v>
      </c>
      <c r="B19" s="23">
        <f>6008.3+0.9-13.5</f>
        <v>5995.7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>
        <v>45.1</v>
      </c>
      <c r="U19" s="27"/>
      <c r="V19" s="23">
        <v>202.5</v>
      </c>
      <c r="W19" s="27">
        <v>217.8</v>
      </c>
      <c r="X19" s="27"/>
      <c r="Y19" s="27"/>
      <c r="Z19" s="23"/>
      <c r="AA19" s="23"/>
      <c r="AB19" s="23"/>
      <c r="AC19" s="23"/>
      <c r="AD19" s="28">
        <f t="shared" si="1"/>
        <v>1808.8</v>
      </c>
      <c r="AE19" s="28">
        <f t="shared" si="3"/>
        <v>7764.099999999999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>
        <v>7.6</v>
      </c>
      <c r="W20" s="27"/>
      <c r="X20" s="27"/>
      <c r="Y20" s="27"/>
      <c r="Z20" s="23"/>
      <c r="AA20" s="23"/>
      <c r="AB20" s="23"/>
      <c r="AC20" s="23"/>
      <c r="AD20" s="28">
        <f t="shared" si="1"/>
        <v>7.6</v>
      </c>
      <c r="AE20" s="28">
        <f t="shared" si="3"/>
        <v>37.199999999999996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104.09999999999945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19</v>
      </c>
      <c r="S22" s="23">
        <f t="shared" si="4"/>
        <v>1.4</v>
      </c>
      <c r="T22" s="23">
        <f t="shared" si="4"/>
        <v>0</v>
      </c>
      <c r="U22" s="23">
        <f t="shared" si="4"/>
        <v>0</v>
      </c>
      <c r="V22" s="23">
        <f t="shared" si="4"/>
        <v>15.000000000000023</v>
      </c>
      <c r="W22" s="23">
        <f t="shared" si="4"/>
        <v>29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106.99999999999982</v>
      </c>
      <c r="AE22" s="28">
        <f t="shared" si="3"/>
        <v>666.4999999999995</v>
      </c>
    </row>
    <row r="23" spans="1:31" ht="15" customHeight="1">
      <c r="A23" s="4" t="s">
        <v>7</v>
      </c>
      <c r="B23" s="23">
        <f>8070.2+177.9</f>
        <v>8248.1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>
        <v>38</v>
      </c>
      <c r="S23" s="27">
        <v>5.8</v>
      </c>
      <c r="T23" s="27"/>
      <c r="U23" s="27"/>
      <c r="V23" s="23">
        <v>411.8</v>
      </c>
      <c r="W23" s="27">
        <v>251</v>
      </c>
      <c r="X23" s="27"/>
      <c r="Y23" s="27"/>
      <c r="Z23" s="23"/>
      <c r="AA23" s="23"/>
      <c r="AB23" s="23"/>
      <c r="AC23" s="23"/>
      <c r="AD23" s="28">
        <f t="shared" si="1"/>
        <v>6968.3</v>
      </c>
      <c r="AE23" s="28">
        <f t="shared" si="3"/>
        <v>6366.3</v>
      </c>
    </row>
    <row r="24" spans="1:32" ht="15.75">
      <c r="A24" s="3" t="s">
        <v>5</v>
      </c>
      <c r="B24" s="23">
        <f>4287.6+14.9+177.9</f>
        <v>4480.4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205.39999999999964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>
        <v>140.8</v>
      </c>
      <c r="W25" s="27">
        <v>71.5</v>
      </c>
      <c r="X25" s="27"/>
      <c r="Y25" s="27"/>
      <c r="Z25" s="23"/>
      <c r="AA25" s="23"/>
      <c r="AB25" s="23"/>
      <c r="AC25" s="23"/>
      <c r="AD25" s="28">
        <f t="shared" si="1"/>
        <v>1009.1000000000001</v>
      </c>
      <c r="AE25" s="28">
        <f t="shared" si="3"/>
        <v>1374.9999999999998</v>
      </c>
    </row>
    <row r="26" spans="1:31" ht="15.75">
      <c r="A26" s="3" t="s">
        <v>1</v>
      </c>
      <c r="B26" s="23">
        <f>187.5+8.1</f>
        <v>195.6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>
        <v>99.8</v>
      </c>
      <c r="W26" s="27"/>
      <c r="X26" s="27"/>
      <c r="Y26" s="27"/>
      <c r="Z26" s="23"/>
      <c r="AA26" s="23"/>
      <c r="AB26" s="23"/>
      <c r="AC26" s="23"/>
      <c r="AD26" s="28">
        <f t="shared" si="1"/>
        <v>293.6</v>
      </c>
      <c r="AE26" s="28">
        <f t="shared" si="3"/>
        <v>39.799999999999955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>
        <v>63.2</v>
      </c>
      <c r="W27" s="27">
        <v>128.5</v>
      </c>
      <c r="X27" s="27"/>
      <c r="Y27" s="27"/>
      <c r="Z27" s="23"/>
      <c r="AA27" s="23"/>
      <c r="AB27" s="23"/>
      <c r="AC27" s="23"/>
      <c r="AD27" s="28">
        <f t="shared" si="1"/>
        <v>786</v>
      </c>
      <c r="AE27" s="28">
        <f t="shared" si="3"/>
        <v>3055.3999999999996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>
        <v>57.1</v>
      </c>
      <c r="W28" s="27"/>
      <c r="X28" s="27"/>
      <c r="Y28" s="27"/>
      <c r="Z28" s="23"/>
      <c r="AA28" s="23"/>
      <c r="AB28" s="23"/>
      <c r="AC28" s="23"/>
      <c r="AD28" s="28">
        <f t="shared" si="1"/>
        <v>109.4</v>
      </c>
      <c r="AE28" s="28">
        <f t="shared" si="3"/>
        <v>45.400000000000006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661.8000000000009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38</v>
      </c>
      <c r="S30" s="23">
        <f t="shared" si="5"/>
        <v>5.8</v>
      </c>
      <c r="T30" s="23">
        <f t="shared" si="5"/>
        <v>0</v>
      </c>
      <c r="U30" s="23">
        <f t="shared" si="5"/>
        <v>0</v>
      </c>
      <c r="V30" s="23">
        <f t="shared" si="5"/>
        <v>50.899999999999984</v>
      </c>
      <c r="W30" s="23">
        <f t="shared" si="5"/>
        <v>51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482.6</v>
      </c>
      <c r="AE30" s="28">
        <f>AE23-AE24-AE25-AE26-AE27-AE28-AE29</f>
        <v>1645.3000000000006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>
        <v>4.9</v>
      </c>
      <c r="T31" s="27">
        <v>74.4</v>
      </c>
      <c r="U31" s="27"/>
      <c r="V31" s="27"/>
      <c r="W31" s="27">
        <v>1.2</v>
      </c>
      <c r="X31" s="27"/>
      <c r="Y31" s="27"/>
      <c r="Z31" s="23"/>
      <c r="AA31" s="23"/>
      <c r="AB31" s="23"/>
      <c r="AC31" s="23"/>
      <c r="AD31" s="28">
        <f t="shared" si="1"/>
        <v>133.89999999999998</v>
      </c>
      <c r="AE31" s="28">
        <f aca="true" t="shared" si="6" ref="AE31:AE36">B31+C31-AD31</f>
        <v>121.40000000000003</v>
      </c>
    </row>
    <row r="32" spans="1:31" ht="15.75">
      <c r="A32" s="3" t="s">
        <v>5</v>
      </c>
      <c r="B32" s="23">
        <v>119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74.4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120</v>
      </c>
      <c r="AE32" s="28">
        <f t="shared" si="6"/>
        <v>21.5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>
        <v>4.6</v>
      </c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11.799999999999999</v>
      </c>
      <c r="AE34" s="28">
        <f t="shared" si="6"/>
        <v>84.4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2.3999999999999986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0.3000000000000007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1.2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2.1000000000000005</v>
      </c>
      <c r="AE37" s="28">
        <f>AE31-AE32-AE34-AE36-AE33-AE35</f>
        <v>15.500000000000028</v>
      </c>
    </row>
    <row r="38" spans="1:31" ht="15" customHeight="1">
      <c r="A38" s="4" t="s">
        <v>35</v>
      </c>
      <c r="B38" s="23">
        <f>534.8-0.1</f>
        <v>534.6999999999999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>
        <v>314.1</v>
      </c>
      <c r="W38" s="27">
        <v>5.3</v>
      </c>
      <c r="X38" s="27"/>
      <c r="Y38" s="27"/>
      <c r="Z38" s="23"/>
      <c r="AA38" s="23"/>
      <c r="AB38" s="23"/>
      <c r="AC38" s="23"/>
      <c r="AD38" s="28">
        <f t="shared" si="1"/>
        <v>535.6999999999999</v>
      </c>
      <c r="AE38" s="28">
        <f aca="true" t="shared" si="8" ref="AE38:AE43">B38+C38-AD38</f>
        <v>256.6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>
        <v>284.4</v>
      </c>
      <c r="W39" s="27"/>
      <c r="X39" s="27"/>
      <c r="Y39" s="27"/>
      <c r="Z39" s="23"/>
      <c r="AA39" s="23"/>
      <c r="AB39" s="23"/>
      <c r="AC39" s="23"/>
      <c r="AD39" s="28">
        <f t="shared" si="1"/>
        <v>478.79999999999995</v>
      </c>
      <c r="AE39" s="28">
        <f t="shared" si="8"/>
        <v>67.80000000000007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3.7</v>
      </c>
      <c r="W41" s="27"/>
      <c r="X41" s="27"/>
      <c r="Y41" s="27"/>
      <c r="Z41" s="23"/>
      <c r="AA41" s="23"/>
      <c r="AB41" s="23"/>
      <c r="AC41" s="23"/>
      <c r="AD41" s="28">
        <f t="shared" si="1"/>
        <v>5.1</v>
      </c>
      <c r="AE41" s="28">
        <f t="shared" si="8"/>
        <v>5.4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>
        <v>21</v>
      </c>
      <c r="W42" s="27"/>
      <c r="X42" s="27"/>
      <c r="Y42" s="27"/>
      <c r="Z42" s="23"/>
      <c r="AA42" s="23"/>
      <c r="AB42" s="23"/>
      <c r="AC42" s="23"/>
      <c r="AD42" s="28">
        <f t="shared" si="1"/>
        <v>35.9</v>
      </c>
      <c r="AE42" s="28">
        <f t="shared" si="8"/>
        <v>76.30000000000001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15.999999999999943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5.000000000000046</v>
      </c>
      <c r="W44" s="23">
        <f t="shared" si="9"/>
        <v>5.3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15.900000000000034</v>
      </c>
      <c r="AE44" s="28">
        <f>AE38-AE39-AE40-AE41-AE42-AE43</f>
        <v>107.09999999999994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>
        <v>39</v>
      </c>
      <c r="W45" s="30">
        <v>11.5</v>
      </c>
      <c r="X45" s="30"/>
      <c r="Y45" s="30"/>
      <c r="Z45" s="29"/>
      <c r="AA45" s="29"/>
      <c r="AB45" s="29"/>
      <c r="AC45" s="29"/>
      <c r="AD45" s="28">
        <f t="shared" si="1"/>
        <v>263.4</v>
      </c>
      <c r="AE45" s="28">
        <f>B45+C45-AD45</f>
        <v>1284.5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f>24.7+24.8</f>
        <v>49.5</v>
      </c>
      <c r="Q47" s="23">
        <v>86.2</v>
      </c>
      <c r="R47" s="23"/>
      <c r="S47" s="27"/>
      <c r="T47" s="27"/>
      <c r="U47" s="23"/>
      <c r="V47" s="23">
        <v>20.4</v>
      </c>
      <c r="W47" s="27"/>
      <c r="X47" s="27"/>
      <c r="Y47" s="27"/>
      <c r="Z47" s="23"/>
      <c r="AA47" s="23"/>
      <c r="AB47" s="23"/>
      <c r="AC47" s="23"/>
      <c r="AD47" s="28">
        <f t="shared" si="1"/>
        <v>190.20000000000002</v>
      </c>
      <c r="AE47" s="28">
        <f>B47+C47-AD47</f>
        <v>1255.3999999999999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16.5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18.6</v>
      </c>
      <c r="W49" s="23">
        <f t="shared" si="10"/>
        <v>11.5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73.19999999999999</v>
      </c>
      <c r="AE49" s="28">
        <f>AE45-AE47-AE46</f>
        <v>29.100000000000136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>
        <v>250</v>
      </c>
      <c r="S50" s="27">
        <v>250</v>
      </c>
      <c r="T50" s="27"/>
      <c r="U50" s="27"/>
      <c r="V50" s="23">
        <v>108.8</v>
      </c>
      <c r="W50" s="27">
        <v>200</v>
      </c>
      <c r="X50" s="27"/>
      <c r="Y50" s="27"/>
      <c r="Z50" s="23"/>
      <c r="AA50" s="23"/>
      <c r="AB50" s="23"/>
      <c r="AC50" s="23"/>
      <c r="AD50" s="28">
        <f t="shared" si="1"/>
        <v>3176.8</v>
      </c>
      <c r="AE50" s="28">
        <f aca="true" t="shared" si="11" ref="AE50:AE56">B50+C50-AD50</f>
        <v>7988.099999999999</v>
      </c>
    </row>
    <row r="51" spans="1:32" ht="15" customHeight="1">
      <c r="A51" s="4" t="s">
        <v>9</v>
      </c>
      <c r="B51" s="45">
        <v>2439.8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>
        <v>2</v>
      </c>
      <c r="S51" s="27">
        <v>2.2</v>
      </c>
      <c r="T51" s="27">
        <v>55.4</v>
      </c>
      <c r="U51" s="27">
        <v>226.9</v>
      </c>
      <c r="V51" s="23">
        <v>861.6</v>
      </c>
      <c r="W51" s="27">
        <v>5.1</v>
      </c>
      <c r="X51" s="27"/>
      <c r="Y51" s="27"/>
      <c r="Z51" s="23"/>
      <c r="AA51" s="23"/>
      <c r="AB51" s="23"/>
      <c r="AC51" s="23"/>
      <c r="AD51" s="28">
        <f t="shared" si="1"/>
        <v>2748.9</v>
      </c>
      <c r="AE51" s="23">
        <f t="shared" si="11"/>
        <v>1430.4999999999995</v>
      </c>
      <c r="AF51" s="6"/>
    </row>
    <row r="52" spans="1:32" ht="15.75">
      <c r="A52" s="3" t="s">
        <v>5</v>
      </c>
      <c r="B52" s="23">
        <f>1876.6+12.1+1.3-0.1</f>
        <v>1889.8999999999999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>
        <v>55.4</v>
      </c>
      <c r="U52" s="27">
        <v>189.4</v>
      </c>
      <c r="V52" s="23">
        <v>821.6</v>
      </c>
      <c r="W52" s="27"/>
      <c r="X52" s="27"/>
      <c r="Y52" s="27"/>
      <c r="Z52" s="23"/>
      <c r="AA52" s="23"/>
      <c r="AB52" s="23"/>
      <c r="AC52" s="23"/>
      <c r="AD52" s="28">
        <f t="shared" si="1"/>
        <v>2290.2000000000003</v>
      </c>
      <c r="AE52" s="23">
        <f t="shared" si="11"/>
        <v>584.6999999999994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217.4-11.1-1.3+1.7+19.3</f>
        <v>226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>
        <v>31.5</v>
      </c>
      <c r="W54" s="27">
        <v>0.1</v>
      </c>
      <c r="X54" s="27"/>
      <c r="Y54" s="27"/>
      <c r="Z54" s="23"/>
      <c r="AA54" s="23"/>
      <c r="AB54" s="23"/>
      <c r="AC54" s="23"/>
      <c r="AD54" s="28">
        <f t="shared" si="1"/>
        <v>79.69999999999999</v>
      </c>
      <c r="AE54" s="23">
        <f t="shared" si="11"/>
        <v>620.0999999999999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>
        <v>3.4</v>
      </c>
      <c r="W55" s="27"/>
      <c r="X55" s="27"/>
      <c r="Y55" s="27"/>
      <c r="Z55" s="23"/>
      <c r="AA55" s="23"/>
      <c r="AB55" s="23"/>
      <c r="AC55" s="23"/>
      <c r="AD55" s="28">
        <f t="shared" si="1"/>
        <v>6.8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320.50000000000034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2</v>
      </c>
      <c r="S57" s="23">
        <f t="shared" si="12"/>
        <v>2.2</v>
      </c>
      <c r="T57" s="23">
        <f t="shared" si="12"/>
        <v>0</v>
      </c>
      <c r="U57" s="23">
        <f t="shared" si="12"/>
        <v>37.5</v>
      </c>
      <c r="V57" s="23">
        <f t="shared" si="12"/>
        <v>5.1</v>
      </c>
      <c r="W57" s="23">
        <f t="shared" si="12"/>
        <v>5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372.1999999999998</v>
      </c>
      <c r="AE57" s="23">
        <f>AE51-AE52-AE54-AE56-AE53-AE55</f>
        <v>225.70000000000027</v>
      </c>
    </row>
    <row r="58" spans="1:31" ht="15" customHeight="1">
      <c r="A58" s="4" t="s">
        <v>10</v>
      </c>
      <c r="B58" s="23">
        <f>28.8+6.6+2.2-0.1</f>
        <v>37.5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>
        <v>10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35.7</v>
      </c>
      <c r="AE58" s="23">
        <f aca="true" t="shared" si="14" ref="AE58:AE64">B58+C58-AD58</f>
        <v>267.90000000000003</v>
      </c>
    </row>
    <row r="59" spans="1:31" ht="15" customHeight="1">
      <c r="A59" s="4" t="s">
        <v>11</v>
      </c>
      <c r="B59" s="23">
        <f>1106.9-0.1</f>
        <v>1106.8000000000002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>
        <v>11</v>
      </c>
      <c r="S59" s="27"/>
      <c r="T59" s="27">
        <v>29</v>
      </c>
      <c r="U59" s="27"/>
      <c r="V59" s="23">
        <v>528.4</v>
      </c>
      <c r="W59" s="27">
        <v>27.2</v>
      </c>
      <c r="X59" s="27"/>
      <c r="Y59" s="27"/>
      <c r="Z59" s="23"/>
      <c r="AA59" s="23"/>
      <c r="AB59" s="23"/>
      <c r="AC59" s="23"/>
      <c r="AD59" s="28">
        <f t="shared" si="13"/>
        <v>1050.8999999999999</v>
      </c>
      <c r="AE59" s="23">
        <f t="shared" si="14"/>
        <v>602.7000000000003</v>
      </c>
    </row>
    <row r="60" spans="1:32" ht="15.75">
      <c r="A60" s="3" t="s">
        <v>5</v>
      </c>
      <c r="B60" s="23">
        <f>581.4+108.8+11-0.1</f>
        <v>701.0999999999999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>
        <v>29</v>
      </c>
      <c r="U60" s="27"/>
      <c r="V60" s="23">
        <v>388.3</v>
      </c>
      <c r="W60" s="27"/>
      <c r="X60" s="27"/>
      <c r="Y60" s="27"/>
      <c r="Z60" s="23"/>
      <c r="AA60" s="23"/>
      <c r="AB60" s="23"/>
      <c r="AC60" s="23"/>
      <c r="AD60" s="28">
        <f t="shared" si="13"/>
        <v>698.5</v>
      </c>
      <c r="AE60" s="23">
        <f t="shared" si="14"/>
        <v>3.199999999999932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>
        <v>2.5</v>
      </c>
      <c r="X61" s="27"/>
      <c r="Y61" s="27"/>
      <c r="Z61" s="23"/>
      <c r="AA61" s="23"/>
      <c r="AB61" s="23"/>
      <c r="AC61" s="23"/>
      <c r="AD61" s="28">
        <f t="shared" si="13"/>
        <v>4.7</v>
      </c>
      <c r="AE61" s="23">
        <f t="shared" si="14"/>
        <v>2.9000000000000004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>
        <v>17.8</v>
      </c>
      <c r="W62" s="27">
        <v>4</v>
      </c>
      <c r="X62" s="27"/>
      <c r="Y62" s="27"/>
      <c r="Z62" s="23"/>
      <c r="AA62" s="23"/>
      <c r="AB62" s="23"/>
      <c r="AC62" s="23"/>
      <c r="AD62" s="28">
        <f t="shared" si="13"/>
        <v>58.5</v>
      </c>
      <c r="AE62" s="23">
        <f t="shared" si="14"/>
        <v>94.39999999999998</v>
      </c>
      <c r="AF62" s="6"/>
    </row>
    <row r="63" spans="1:31" ht="15.75">
      <c r="A63" s="3" t="s">
        <v>2</v>
      </c>
      <c r="B63" s="23">
        <f>132.3-11</f>
        <v>121.30000000000001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>
        <v>9.6</v>
      </c>
      <c r="W63" s="27">
        <v>6.9</v>
      </c>
      <c r="X63" s="27"/>
      <c r="Y63" s="27"/>
      <c r="Z63" s="23"/>
      <c r="AA63" s="23"/>
      <c r="AB63" s="23"/>
      <c r="AC63" s="23"/>
      <c r="AD63" s="28">
        <f t="shared" si="13"/>
        <v>31.199999999999996</v>
      </c>
      <c r="AE63" s="23">
        <f t="shared" si="14"/>
        <v>120.80000000000001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218.40000000000026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11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112.69999999999997</v>
      </c>
      <c r="W65" s="23">
        <f t="shared" si="15"/>
        <v>13.799999999999997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258</v>
      </c>
      <c r="AE65" s="23">
        <f>AE59-AE60-AE63-AE64-AE62-AE61</f>
        <v>381.4000000000004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457.4-4.6-20.9+0.1</f>
        <v>432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>
        <v>27.4</v>
      </c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178.50000000000003</v>
      </c>
      <c r="AE69" s="31">
        <f t="shared" si="16"/>
        <v>2558.7</v>
      </c>
    </row>
    <row r="70" spans="1:31" ht="15" customHeight="1">
      <c r="A70" s="3" t="s">
        <v>5</v>
      </c>
      <c r="B70" s="23">
        <v>0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>
        <v>13.5</v>
      </c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13.5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>
        <v>26.9</v>
      </c>
      <c r="W72" s="30"/>
      <c r="X72" s="30"/>
      <c r="Y72" s="30"/>
      <c r="Z72" s="29"/>
      <c r="AA72" s="29"/>
      <c r="AB72" s="29"/>
      <c r="AC72" s="29"/>
      <c r="AD72" s="28">
        <f t="shared" si="13"/>
        <v>62</v>
      </c>
      <c r="AE72" s="31">
        <f t="shared" si="16"/>
        <v>697.0999999999999</v>
      </c>
    </row>
    <row r="73" spans="1:31" s="11" customFormat="1" ht="15.75">
      <c r="A73" s="3" t="s">
        <v>5</v>
      </c>
      <c r="B73" s="23">
        <v>60</v>
      </c>
      <c r="C73" s="23">
        <v>0.8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>
        <v>26.9</v>
      </c>
      <c r="W73" s="30"/>
      <c r="X73" s="30"/>
      <c r="Y73" s="30"/>
      <c r="Z73" s="29"/>
      <c r="AA73" s="29"/>
      <c r="AB73" s="29"/>
      <c r="AC73" s="29"/>
      <c r="AD73" s="28">
        <f t="shared" si="13"/>
        <v>60.699999999999996</v>
      </c>
      <c r="AE73" s="31">
        <f t="shared" si="16"/>
        <v>0.10000000000000142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49314.60000000001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389</v>
      </c>
      <c r="S90" s="43">
        <f t="shared" si="18"/>
        <v>977.4999999999999</v>
      </c>
      <c r="T90" s="43">
        <f t="shared" si="18"/>
        <v>379.7</v>
      </c>
      <c r="U90" s="43">
        <f t="shared" si="18"/>
        <v>356.3</v>
      </c>
      <c r="V90" s="43">
        <f t="shared" si="18"/>
        <v>14744.099999999999</v>
      </c>
      <c r="W90" s="43">
        <f t="shared" si="18"/>
        <v>862.6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43703.600000000006</v>
      </c>
      <c r="AE90" s="60">
        <f>AE10+AE15+AE23+AE31+AE45+AE50+AE51+AE58+AE59+AE66+AE68+AE69+AE72+AE77+AE78+AE79+AE84+AE85+AE86+AE87+AE67+AE38+AE88</f>
        <v>34392.09999999999</v>
      </c>
    </row>
    <row r="91" spans="1:31" ht="15.75">
      <c r="A91" s="3" t="s">
        <v>5</v>
      </c>
      <c r="B91" s="23">
        <f aca="true" t="shared" si="19" ref="B91:AB91">B11+B16+B24+B32+B52+B60+B70+B39+B73</f>
        <v>29716.399999999998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613.7</v>
      </c>
      <c r="T91" s="23">
        <f t="shared" si="19"/>
        <v>320.1</v>
      </c>
      <c r="U91" s="23">
        <f t="shared" si="19"/>
        <v>202.9</v>
      </c>
      <c r="V91" s="23">
        <f t="shared" si="19"/>
        <v>13578.999999999998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30319.6</v>
      </c>
      <c r="AE91" s="28">
        <f>B91+C91-AD91</f>
        <v>2196.4000000000015</v>
      </c>
    </row>
    <row r="92" spans="1:31" ht="15.75">
      <c r="A92" s="3" t="s">
        <v>2</v>
      </c>
      <c r="B92" s="23">
        <f aca="true" t="shared" si="20" ref="B92:X92">B12+B19+B27+B34+B54+B63+B42+B76+B71</f>
        <v>8907.799999999997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16.6</v>
      </c>
      <c r="T92" s="23">
        <f t="shared" si="20"/>
        <v>45.1</v>
      </c>
      <c r="U92" s="23">
        <f t="shared" si="20"/>
        <v>0</v>
      </c>
      <c r="V92" s="23">
        <f t="shared" si="20"/>
        <v>332.5</v>
      </c>
      <c r="W92" s="23">
        <f t="shared" si="20"/>
        <v>362.5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2829.7999999999997</v>
      </c>
      <c r="AE92" s="28">
        <f>B92+C92-AD92</f>
        <v>12550.499999999998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141.70000000000002</v>
      </c>
      <c r="W93" s="23">
        <f t="shared" si="21"/>
        <v>76.2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1020.6000000000001</v>
      </c>
      <c r="AE93" s="28">
        <f>B93+C93-AD93</f>
        <v>1461.8999999999999</v>
      </c>
    </row>
    <row r="94" spans="1:31" ht="15.75">
      <c r="A94" s="3" t="s">
        <v>1</v>
      </c>
      <c r="B94" s="23">
        <f aca="true" t="shared" si="22" ref="B94:Y94">B18+B26+B62+B33+B41+B53+B46+B75</f>
        <v>1958.3999999999996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14.5</v>
      </c>
      <c r="U94" s="23">
        <f t="shared" si="22"/>
        <v>115.9</v>
      </c>
      <c r="V94" s="23">
        <f t="shared" si="22"/>
        <v>271.3</v>
      </c>
      <c r="W94" s="23">
        <f t="shared" si="22"/>
        <v>89.5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2042.7</v>
      </c>
      <c r="AE94" s="28">
        <f>B94+C94-AD94</f>
        <v>882.1999999999996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49.5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88.5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314</v>
      </c>
      <c r="AE95" s="28">
        <f>B95+C95-AD95</f>
        <v>1337.9999999999998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7176.900000000008</v>
      </c>
      <c r="AE96" s="2">
        <f>AE90-AE91-AE92-AE93-AE94-AE95</f>
        <v>15963.099999999988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26383.399999999998</v>
      </c>
      <c r="S99" s="54">
        <f t="shared" si="24"/>
        <v>27360.899999999998</v>
      </c>
      <c r="T99" s="54">
        <f t="shared" si="24"/>
        <v>27740.6</v>
      </c>
      <c r="U99" s="54">
        <f t="shared" si="24"/>
        <v>28096.899999999998</v>
      </c>
      <c r="V99" s="54">
        <f t="shared" si="24"/>
        <v>42841</v>
      </c>
      <c r="W99" s="54">
        <f t="shared" si="24"/>
        <v>43703.6</v>
      </c>
      <c r="X99" s="54">
        <f t="shared" si="24"/>
        <v>43703.6</v>
      </c>
      <c r="Y99" s="54">
        <f t="shared" si="24"/>
        <v>43703.6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R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5" sqref="A45:IV4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71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1" t="s">
        <v>45</v>
      </c>
      <c r="B7" s="44">
        <f>SUM(D7:W7)</f>
        <v>38842.7</v>
      </c>
      <c r="C7" s="46"/>
      <c r="D7" s="46"/>
      <c r="E7" s="47"/>
      <c r="F7" s="47"/>
      <c r="G7" s="47">
        <v>38842.7</v>
      </c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34460.600000000006</v>
      </c>
      <c r="C8" s="41">
        <v>0</v>
      </c>
      <c r="D8" s="44">
        <v>1508.6</v>
      </c>
      <c r="E8" s="56">
        <v>103.7</v>
      </c>
      <c r="F8" s="56">
        <f>171.6+486.1</f>
        <v>657.7</v>
      </c>
      <c r="G8" s="56">
        <v>206.5</v>
      </c>
      <c r="H8" s="56">
        <v>567.7</v>
      </c>
      <c r="I8" s="56">
        <v>1387.3</v>
      </c>
      <c r="J8" s="57">
        <v>223.3</v>
      </c>
      <c r="K8" s="56">
        <v>605</v>
      </c>
      <c r="L8" s="56">
        <v>1582.9</v>
      </c>
      <c r="M8" s="56">
        <v>1268.7</v>
      </c>
      <c r="N8" s="56">
        <v>2081.3</v>
      </c>
      <c r="O8" s="56">
        <v>3984.2</v>
      </c>
      <c r="P8" s="56">
        <v>1557.8</v>
      </c>
      <c r="Q8" s="56">
        <v>1372.9</v>
      </c>
      <c r="R8" s="56">
        <v>2349.4</v>
      </c>
      <c r="S8" s="58">
        <v>3561</v>
      </c>
      <c r="T8" s="58">
        <v>3719.1</v>
      </c>
      <c r="U8" s="56">
        <v>1492.4</v>
      </c>
      <c r="V8" s="57">
        <v>2398.9</v>
      </c>
      <c r="W8" s="57">
        <v>3832.2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68903.99999999999</v>
      </c>
      <c r="C9" s="25">
        <f t="shared" si="0"/>
        <v>33282.7</v>
      </c>
      <c r="D9" s="25">
        <f t="shared" si="0"/>
        <v>1508.5000000000002</v>
      </c>
      <c r="E9" s="25">
        <f t="shared" si="0"/>
        <v>103.6</v>
      </c>
      <c r="F9" s="25">
        <f t="shared" si="0"/>
        <v>455.3</v>
      </c>
      <c r="G9" s="25">
        <f t="shared" si="0"/>
        <v>8825.199999999999</v>
      </c>
      <c r="H9" s="25">
        <f t="shared" si="0"/>
        <v>383.29999999999995</v>
      </c>
      <c r="I9" s="25">
        <f t="shared" si="0"/>
        <v>961.8000000000001</v>
      </c>
      <c r="J9" s="25">
        <f t="shared" si="0"/>
        <v>596.9</v>
      </c>
      <c r="K9" s="25">
        <f t="shared" si="0"/>
        <v>894.8</v>
      </c>
      <c r="L9" s="25">
        <f t="shared" si="0"/>
        <v>16396.7</v>
      </c>
      <c r="M9" s="25">
        <f t="shared" si="0"/>
        <v>865.8000000000001</v>
      </c>
      <c r="N9" s="25">
        <f>N10+N15+N23+N31+N45+N50+N51+N58+N59+N68+N69+N84+N72+N77+N79+N78+N66+N85+N86+N87+N67+N38+N88</f>
        <v>839.3</v>
      </c>
      <c r="O9" s="25">
        <f t="shared" si="0"/>
        <v>398.40000000000003</v>
      </c>
      <c r="P9" s="25">
        <f t="shared" si="0"/>
        <v>492.9</v>
      </c>
      <c r="Q9" s="25">
        <f t="shared" si="0"/>
        <v>0</v>
      </c>
      <c r="R9" s="25">
        <f t="shared" si="0"/>
        <v>729.7</v>
      </c>
      <c r="S9" s="25">
        <f t="shared" si="0"/>
        <v>3272.1</v>
      </c>
      <c r="T9" s="25">
        <f t="shared" si="0"/>
        <v>3710</v>
      </c>
      <c r="U9" s="25">
        <f t="shared" si="0"/>
        <v>22668.2</v>
      </c>
      <c r="V9" s="25">
        <f t="shared" si="0"/>
        <v>5013.3</v>
      </c>
      <c r="W9" s="25">
        <f t="shared" si="0"/>
        <v>5113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73228.8</v>
      </c>
      <c r="AE9" s="51">
        <f>AE10+AE15+AE23+AE31+AE45+AE50+AE51+AE58+AE59+AE68+AE69+AE72+AE84+AE77+AE79+AE78+AE66+AE85+AE87+AE86+AE67+AE38+AE88</f>
        <v>28957.899999999987</v>
      </c>
      <c r="AG9" s="50"/>
    </row>
    <row r="10" spans="1:31" ht="15.75">
      <c r="A10" s="4" t="s">
        <v>4</v>
      </c>
      <c r="B10" s="23">
        <f>2894.4+124+35+144</f>
        <v>3197.4</v>
      </c>
      <c r="C10" s="23">
        <v>2437</v>
      </c>
      <c r="D10" s="23">
        <v>180.3</v>
      </c>
      <c r="E10" s="23">
        <v>3.7</v>
      </c>
      <c r="F10" s="23">
        <v>1.2</v>
      </c>
      <c r="G10" s="23"/>
      <c r="H10" s="23">
        <v>3.2</v>
      </c>
      <c r="I10" s="23">
        <v>25.2</v>
      </c>
      <c r="J10" s="26">
        <v>275.8</v>
      </c>
      <c r="K10" s="23">
        <v>284.9</v>
      </c>
      <c r="L10" s="23">
        <v>935.8</v>
      </c>
      <c r="M10" s="23">
        <v>9.6</v>
      </c>
      <c r="N10" s="23">
        <v>3.9</v>
      </c>
      <c r="O10" s="28">
        <v>15.7</v>
      </c>
      <c r="P10" s="23">
        <v>17.8</v>
      </c>
      <c r="Q10" s="23"/>
      <c r="R10" s="23">
        <v>47.5</v>
      </c>
      <c r="S10" s="27">
        <v>156.9</v>
      </c>
      <c r="T10" s="27">
        <v>3.2</v>
      </c>
      <c r="U10" s="27">
        <v>317.4</v>
      </c>
      <c r="V10" s="23">
        <v>1427.8</v>
      </c>
      <c r="W10" s="28">
        <v>1385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5094.9</v>
      </c>
      <c r="AE10" s="28">
        <f>B10+C10-AD10</f>
        <v>539.5</v>
      </c>
    </row>
    <row r="11" spans="1:31" ht="15.75">
      <c r="A11" s="3" t="s">
        <v>5</v>
      </c>
      <c r="B11" s="23">
        <f>2440.9+80+50</f>
        <v>2570.9</v>
      </c>
      <c r="C11" s="23">
        <v>991.5</v>
      </c>
      <c r="D11" s="23"/>
      <c r="E11" s="23">
        <v>3.4</v>
      </c>
      <c r="F11" s="23">
        <v>1.1</v>
      </c>
      <c r="G11" s="23"/>
      <c r="H11" s="23"/>
      <c r="I11" s="23">
        <v>11.7</v>
      </c>
      <c r="J11" s="27">
        <v>275.8</v>
      </c>
      <c r="K11" s="23">
        <v>274.8</v>
      </c>
      <c r="L11" s="23">
        <v>865.7</v>
      </c>
      <c r="M11" s="23"/>
      <c r="N11" s="23">
        <v>3.5</v>
      </c>
      <c r="O11" s="28"/>
      <c r="P11" s="23">
        <v>0.1</v>
      </c>
      <c r="Q11" s="23"/>
      <c r="R11" s="23">
        <v>41.3</v>
      </c>
      <c r="S11" s="27"/>
      <c r="T11" s="27"/>
      <c r="U11" s="27">
        <v>151.5</v>
      </c>
      <c r="V11" s="23">
        <v>1115.6</v>
      </c>
      <c r="W11" s="27">
        <v>707.9</v>
      </c>
      <c r="X11" s="27"/>
      <c r="Y11" s="27"/>
      <c r="Z11" s="23"/>
      <c r="AA11" s="23"/>
      <c r="AB11" s="23"/>
      <c r="AC11" s="23"/>
      <c r="AD11" s="23">
        <f t="shared" si="1"/>
        <v>3452.4</v>
      </c>
      <c r="AE11" s="28">
        <f>B11+C11-AD11</f>
        <v>110</v>
      </c>
    </row>
    <row r="12" spans="1:31" ht="15.75">
      <c r="A12" s="3" t="s">
        <v>2</v>
      </c>
      <c r="B12" s="37">
        <f>275.9-9.1</f>
        <v>266.79999999999995</v>
      </c>
      <c r="C12" s="23">
        <v>438.5</v>
      </c>
      <c r="D12" s="23">
        <v>0.3</v>
      </c>
      <c r="E12" s="23"/>
      <c r="F12" s="23"/>
      <c r="G12" s="23"/>
      <c r="H12" s="23"/>
      <c r="I12" s="23">
        <v>5</v>
      </c>
      <c r="J12" s="27"/>
      <c r="K12" s="23"/>
      <c r="L12" s="23"/>
      <c r="M12" s="23">
        <v>9.6</v>
      </c>
      <c r="N12" s="23"/>
      <c r="O12" s="28"/>
      <c r="P12" s="23"/>
      <c r="Q12" s="23"/>
      <c r="R12" s="23"/>
      <c r="S12" s="27">
        <v>33.1</v>
      </c>
      <c r="T12" s="27"/>
      <c r="U12" s="27"/>
      <c r="V12" s="23"/>
      <c r="W12" s="27">
        <v>510.4</v>
      </c>
      <c r="X12" s="27"/>
      <c r="Y12" s="27"/>
      <c r="Z12" s="23"/>
      <c r="AA12" s="23"/>
      <c r="AB12" s="23"/>
      <c r="AC12" s="23"/>
      <c r="AD12" s="23">
        <f t="shared" si="1"/>
        <v>558.4</v>
      </c>
      <c r="AE12" s="28">
        <f>B12+C12-AD12</f>
        <v>146.89999999999998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359.70000000000005</v>
      </c>
      <c r="C14" s="23">
        <f t="shared" si="2"/>
        <v>1007</v>
      </c>
      <c r="D14" s="23">
        <f t="shared" si="2"/>
        <v>180</v>
      </c>
      <c r="E14" s="23">
        <f t="shared" si="2"/>
        <v>0.30000000000000027</v>
      </c>
      <c r="F14" s="23">
        <f t="shared" si="2"/>
        <v>0.09999999999999987</v>
      </c>
      <c r="G14" s="23">
        <f t="shared" si="2"/>
        <v>0</v>
      </c>
      <c r="H14" s="23">
        <f t="shared" si="2"/>
        <v>3.2</v>
      </c>
      <c r="I14" s="23">
        <f t="shared" si="2"/>
        <v>8.5</v>
      </c>
      <c r="J14" s="23">
        <f t="shared" si="2"/>
        <v>0</v>
      </c>
      <c r="K14" s="23">
        <f t="shared" si="2"/>
        <v>10.099999999999966</v>
      </c>
      <c r="L14" s="23">
        <f t="shared" si="2"/>
        <v>70.09999999999991</v>
      </c>
      <c r="M14" s="23">
        <f t="shared" si="2"/>
        <v>0</v>
      </c>
      <c r="N14" s="23">
        <f t="shared" si="2"/>
        <v>0.3999999999999999</v>
      </c>
      <c r="O14" s="23">
        <f t="shared" si="2"/>
        <v>15.7</v>
      </c>
      <c r="P14" s="23">
        <f t="shared" si="2"/>
        <v>17.7</v>
      </c>
      <c r="Q14" s="23">
        <f t="shared" si="2"/>
        <v>0</v>
      </c>
      <c r="R14" s="23">
        <f t="shared" si="2"/>
        <v>6.200000000000003</v>
      </c>
      <c r="S14" s="23">
        <f t="shared" si="2"/>
        <v>123.80000000000001</v>
      </c>
      <c r="T14" s="23">
        <f t="shared" si="2"/>
        <v>3.2</v>
      </c>
      <c r="U14" s="23">
        <f t="shared" si="2"/>
        <v>165.89999999999998</v>
      </c>
      <c r="V14" s="23">
        <f t="shared" si="2"/>
        <v>312.20000000000005</v>
      </c>
      <c r="W14" s="23">
        <f t="shared" si="2"/>
        <v>166.70000000000005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1084.1</v>
      </c>
      <c r="AE14" s="28">
        <f>AE10-AE11-AE12-AE13</f>
        <v>282.6</v>
      </c>
    </row>
    <row r="15" spans="1:31" ht="15" customHeight="1">
      <c r="A15" s="4" t="s">
        <v>6</v>
      </c>
      <c r="B15" s="23">
        <f>12546.5+17960.3+356.2</f>
        <v>30863</v>
      </c>
      <c r="C15" s="23">
        <v>9529.6</v>
      </c>
      <c r="D15" s="45">
        <v>472</v>
      </c>
      <c r="E15" s="45">
        <v>19.9</v>
      </c>
      <c r="F15" s="23">
        <v>124.3</v>
      </c>
      <c r="G15" s="23"/>
      <c r="H15" s="23">
        <v>257.4</v>
      </c>
      <c r="I15" s="23">
        <v>80.7</v>
      </c>
      <c r="J15" s="27">
        <v>300</v>
      </c>
      <c r="K15" s="23">
        <v>1.6</v>
      </c>
      <c r="L15" s="23">
        <v>8171.8</v>
      </c>
      <c r="M15" s="23">
        <v>522.9</v>
      </c>
      <c r="N15" s="23">
        <v>528.6</v>
      </c>
      <c r="O15" s="28">
        <v>2</v>
      </c>
      <c r="P15" s="23">
        <v>247</v>
      </c>
      <c r="Q15" s="28"/>
      <c r="R15" s="23">
        <v>278.7</v>
      </c>
      <c r="S15" s="27">
        <v>1437.6</v>
      </c>
      <c r="T15" s="27">
        <v>1240</v>
      </c>
      <c r="U15" s="27">
        <v>13446.8</v>
      </c>
      <c r="V15" s="23">
        <v>193.5</v>
      </c>
      <c r="W15" s="27">
        <v>881.8</v>
      </c>
      <c r="X15" s="27"/>
      <c r="Y15" s="27"/>
      <c r="Z15" s="23"/>
      <c r="AA15" s="23"/>
      <c r="AB15" s="23"/>
      <c r="AC15" s="23"/>
      <c r="AD15" s="28">
        <f t="shared" si="1"/>
        <v>28206.600000000002</v>
      </c>
      <c r="AE15" s="28">
        <f aca="true" t="shared" si="3" ref="AE15:AE29">B15+C15-AD15</f>
        <v>12185.999999999996</v>
      </c>
    </row>
    <row r="16" spans="1:32" ht="15.75">
      <c r="A16" s="3" t="s">
        <v>5</v>
      </c>
      <c r="B16" s="23">
        <f>3307.6+17960.3+3</f>
        <v>21270.899999999998</v>
      </c>
      <c r="C16" s="23">
        <v>308.7</v>
      </c>
      <c r="D16" s="23"/>
      <c r="E16" s="23"/>
      <c r="F16" s="23"/>
      <c r="G16" s="23"/>
      <c r="H16" s="23"/>
      <c r="I16" s="23"/>
      <c r="J16" s="27"/>
      <c r="K16" s="23"/>
      <c r="L16" s="23">
        <v>8171.8</v>
      </c>
      <c r="M16" s="23">
        <v>111.3</v>
      </c>
      <c r="N16" s="23"/>
      <c r="O16" s="28"/>
      <c r="P16" s="23"/>
      <c r="Q16" s="28"/>
      <c r="R16" s="23"/>
      <c r="S16" s="27"/>
      <c r="T16" s="27"/>
      <c r="U16" s="27">
        <v>13282</v>
      </c>
      <c r="V16" s="23"/>
      <c r="W16" s="27">
        <v>6.4</v>
      </c>
      <c r="X16" s="27"/>
      <c r="Y16" s="27"/>
      <c r="Z16" s="23"/>
      <c r="AA16" s="23"/>
      <c r="AB16" s="23"/>
      <c r="AC16" s="23"/>
      <c r="AD16" s="28">
        <f t="shared" si="1"/>
        <v>21571.5</v>
      </c>
      <c r="AE16" s="28">
        <f t="shared" si="3"/>
        <v>8.099999999998545</v>
      </c>
      <c r="AF16" s="6"/>
    </row>
    <row r="17" spans="1:31" ht="15.75">
      <c r="A17" s="3" t="s">
        <v>3</v>
      </c>
      <c r="B17" s="23">
        <v>0</v>
      </c>
      <c r="C17" s="23">
        <v>14</v>
      </c>
      <c r="D17" s="23"/>
      <c r="E17" s="23"/>
      <c r="F17" s="23"/>
      <c r="G17" s="23"/>
      <c r="H17" s="23"/>
      <c r="I17" s="23"/>
      <c r="J17" s="27"/>
      <c r="K17" s="23">
        <v>1.6</v>
      </c>
      <c r="L17" s="23"/>
      <c r="M17" s="23"/>
      <c r="N17" s="23"/>
      <c r="O17" s="28"/>
      <c r="P17" s="23"/>
      <c r="Q17" s="28"/>
      <c r="R17" s="23">
        <v>1.1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2.7</v>
      </c>
      <c r="AE17" s="28">
        <f t="shared" si="3"/>
        <v>11.3</v>
      </c>
    </row>
    <row r="18" spans="1:31" ht="15.75">
      <c r="A18" s="3" t="s">
        <v>1</v>
      </c>
      <c r="B18" s="23">
        <f>1582.3+1289.9-55.3+29</f>
        <v>2845.8999999999996</v>
      </c>
      <c r="C18" s="23">
        <v>739.1</v>
      </c>
      <c r="D18" s="23">
        <v>287.4</v>
      </c>
      <c r="E18" s="23"/>
      <c r="F18" s="23">
        <v>100</v>
      </c>
      <c r="G18" s="23"/>
      <c r="H18" s="23">
        <v>250</v>
      </c>
      <c r="I18" s="23"/>
      <c r="J18" s="27">
        <v>300</v>
      </c>
      <c r="K18" s="23"/>
      <c r="L18" s="23"/>
      <c r="M18" s="23">
        <v>400</v>
      </c>
      <c r="N18" s="23">
        <v>528.6</v>
      </c>
      <c r="O18" s="28"/>
      <c r="P18" s="23">
        <v>247</v>
      </c>
      <c r="Q18" s="28"/>
      <c r="R18" s="23">
        <v>244.3</v>
      </c>
      <c r="S18" s="27">
        <v>215.3</v>
      </c>
      <c r="T18" s="27"/>
      <c r="U18" s="27">
        <v>118.9</v>
      </c>
      <c r="V18" s="23"/>
      <c r="W18" s="27">
        <v>729.8</v>
      </c>
      <c r="X18" s="27"/>
      <c r="Y18" s="27"/>
      <c r="Z18" s="23"/>
      <c r="AA18" s="23"/>
      <c r="AB18" s="23"/>
      <c r="AC18" s="23"/>
      <c r="AD18" s="28">
        <f t="shared" si="1"/>
        <v>3421.3</v>
      </c>
      <c r="AE18" s="28">
        <f t="shared" si="3"/>
        <v>163.69999999999936</v>
      </c>
    </row>
    <row r="19" spans="1:31" ht="15.75">
      <c r="A19" s="3" t="s">
        <v>2</v>
      </c>
      <c r="B19" s="23">
        <f>7562.3-1289.9+1.7+113.5</f>
        <v>6387.599999999999</v>
      </c>
      <c r="C19" s="23">
        <v>7764.1</v>
      </c>
      <c r="D19" s="23">
        <v>124.6</v>
      </c>
      <c r="E19" s="23"/>
      <c r="F19" s="23"/>
      <c r="G19" s="23"/>
      <c r="H19" s="23"/>
      <c r="I19" s="23">
        <v>53.5</v>
      </c>
      <c r="J19" s="27"/>
      <c r="K19" s="23"/>
      <c r="L19" s="23"/>
      <c r="M19" s="23">
        <v>7.8</v>
      </c>
      <c r="N19" s="23"/>
      <c r="O19" s="28"/>
      <c r="P19" s="23"/>
      <c r="Q19" s="28"/>
      <c r="R19" s="23">
        <v>21.9</v>
      </c>
      <c r="S19" s="27">
        <v>1200</v>
      </c>
      <c r="T19" s="27">
        <v>1240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2647.8</v>
      </c>
      <c r="AE19" s="28">
        <f t="shared" si="3"/>
        <v>11503.900000000001</v>
      </c>
    </row>
    <row r="20" spans="1:31" ht="15.75">
      <c r="A20" s="3" t="s">
        <v>17</v>
      </c>
      <c r="B20" s="23">
        <v>7.5</v>
      </c>
      <c r="C20" s="23">
        <v>37.2</v>
      </c>
      <c r="D20" s="23"/>
      <c r="E20" s="23"/>
      <c r="F20" s="23"/>
      <c r="G20" s="23"/>
      <c r="H20" s="23"/>
      <c r="I20" s="23">
        <v>14.7</v>
      </c>
      <c r="J20" s="27"/>
      <c r="K20" s="23"/>
      <c r="L20" s="23"/>
      <c r="M20" s="23">
        <v>3.8</v>
      </c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18.5</v>
      </c>
      <c r="AE20" s="28">
        <f t="shared" si="3"/>
        <v>26.200000000000003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351.1000000000031</v>
      </c>
      <c r="C22" s="23">
        <f t="shared" si="4"/>
        <v>666.4999999999989</v>
      </c>
      <c r="D22" s="23">
        <f t="shared" si="4"/>
        <v>60.00000000000003</v>
      </c>
      <c r="E22" s="23">
        <f t="shared" si="4"/>
        <v>19.9</v>
      </c>
      <c r="F22" s="23">
        <f t="shared" si="4"/>
        <v>24.299999999999997</v>
      </c>
      <c r="G22" s="23">
        <f t="shared" si="4"/>
        <v>0</v>
      </c>
      <c r="H22" s="23">
        <f t="shared" si="4"/>
        <v>7.399999999999977</v>
      </c>
      <c r="I22" s="23">
        <f t="shared" si="4"/>
        <v>12.500000000000004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>M15-M16-M17-M18-M19-M20-M21</f>
        <v>-3.375077994860476E-14</v>
      </c>
      <c r="N22" s="23">
        <f t="shared" si="4"/>
        <v>0</v>
      </c>
      <c r="O22" s="23">
        <f t="shared" si="4"/>
        <v>2</v>
      </c>
      <c r="P22" s="23">
        <f t="shared" si="4"/>
        <v>0</v>
      </c>
      <c r="Q22" s="23">
        <f t="shared" si="4"/>
        <v>0</v>
      </c>
      <c r="R22" s="23">
        <f t="shared" si="4"/>
        <v>11.399999999999956</v>
      </c>
      <c r="S22" s="23">
        <f t="shared" si="4"/>
        <v>22.299999999999955</v>
      </c>
      <c r="T22" s="23">
        <f t="shared" si="4"/>
        <v>0</v>
      </c>
      <c r="U22" s="23">
        <f t="shared" si="4"/>
        <v>45.89999999999927</v>
      </c>
      <c r="V22" s="23">
        <f t="shared" si="4"/>
        <v>193.5</v>
      </c>
      <c r="W22" s="23">
        <f t="shared" si="4"/>
        <v>145.60000000000002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544.7999999999992</v>
      </c>
      <c r="AE22" s="28">
        <f t="shared" si="3"/>
        <v>472.8000000000028</v>
      </c>
    </row>
    <row r="23" spans="1:31" ht="15" customHeight="1">
      <c r="A23" s="4" t="s">
        <v>7</v>
      </c>
      <c r="B23" s="23">
        <f>5206.8+21748.5+500</f>
        <v>27455.3</v>
      </c>
      <c r="C23" s="23">
        <f>6366.3-500</f>
        <v>5866.3</v>
      </c>
      <c r="D23" s="23">
        <v>270</v>
      </c>
      <c r="E23" s="23"/>
      <c r="F23" s="23"/>
      <c r="G23" s="23">
        <v>8814.4</v>
      </c>
      <c r="H23" s="23">
        <v>68.5</v>
      </c>
      <c r="I23" s="23">
        <v>378.7</v>
      </c>
      <c r="J23" s="27">
        <v>21.1</v>
      </c>
      <c r="K23" s="23">
        <v>254.3</v>
      </c>
      <c r="L23" s="23">
        <v>5708.9</v>
      </c>
      <c r="M23" s="23">
        <v>13.6</v>
      </c>
      <c r="N23" s="23">
        <v>52.3</v>
      </c>
      <c r="O23" s="28">
        <v>240.6</v>
      </c>
      <c r="P23" s="23">
        <v>80.7</v>
      </c>
      <c r="Q23" s="28"/>
      <c r="R23" s="28">
        <v>33</v>
      </c>
      <c r="S23" s="27">
        <v>755.8</v>
      </c>
      <c r="T23" s="27">
        <v>1338.9</v>
      </c>
      <c r="U23" s="27">
        <v>7020.4</v>
      </c>
      <c r="V23" s="23">
        <v>1402.5</v>
      </c>
      <c r="W23" s="27">
        <v>56.7</v>
      </c>
      <c r="X23" s="27"/>
      <c r="Y23" s="27"/>
      <c r="Z23" s="23"/>
      <c r="AA23" s="23"/>
      <c r="AB23" s="23"/>
      <c r="AC23" s="23"/>
      <c r="AD23" s="28">
        <f t="shared" si="1"/>
        <v>26510.400000000005</v>
      </c>
      <c r="AE23" s="28">
        <f t="shared" si="3"/>
        <v>6811.199999999993</v>
      </c>
    </row>
    <row r="24" spans="1:32" ht="15.75">
      <c r="A24" s="3" t="s">
        <v>5</v>
      </c>
      <c r="B24" s="23">
        <v>21517.1</v>
      </c>
      <c r="C24" s="23">
        <v>205.4</v>
      </c>
      <c r="D24" s="23"/>
      <c r="E24" s="23"/>
      <c r="F24" s="23"/>
      <c r="G24" s="23">
        <v>8474.6</v>
      </c>
      <c r="H24" s="23">
        <v>1.8</v>
      </c>
      <c r="I24" s="23"/>
      <c r="J24" s="27"/>
      <c r="K24" s="23"/>
      <c r="L24" s="23">
        <v>5708.9</v>
      </c>
      <c r="M24" s="23"/>
      <c r="N24" s="23"/>
      <c r="O24" s="28"/>
      <c r="P24" s="23"/>
      <c r="Q24" s="28"/>
      <c r="R24" s="23"/>
      <c r="S24" s="27"/>
      <c r="T24" s="27"/>
      <c r="U24" s="27">
        <v>6491</v>
      </c>
      <c r="V24" s="23">
        <v>1036.7</v>
      </c>
      <c r="W24" s="27">
        <v>3.4</v>
      </c>
      <c r="X24" s="27"/>
      <c r="Y24" s="27"/>
      <c r="Z24" s="23"/>
      <c r="AA24" s="23"/>
      <c r="AB24" s="23"/>
      <c r="AC24" s="23"/>
      <c r="AD24" s="28">
        <f t="shared" si="1"/>
        <v>21716.4</v>
      </c>
      <c r="AE24" s="28">
        <f t="shared" si="3"/>
        <v>6.099999999998545</v>
      </c>
      <c r="AF24" s="6"/>
    </row>
    <row r="25" spans="1:31" ht="15.75">
      <c r="A25" s="3" t="s">
        <v>3</v>
      </c>
      <c r="B25" s="23">
        <f>569.8-133.7+47.7</f>
        <v>483.79999999999995</v>
      </c>
      <c r="C25" s="23">
        <v>1375</v>
      </c>
      <c r="D25" s="23">
        <v>94.4</v>
      </c>
      <c r="E25" s="23"/>
      <c r="F25" s="23"/>
      <c r="G25" s="23"/>
      <c r="H25" s="23"/>
      <c r="I25" s="23"/>
      <c r="J25" s="27"/>
      <c r="K25" s="23">
        <v>200</v>
      </c>
      <c r="L25" s="23"/>
      <c r="M25" s="23"/>
      <c r="N25" s="23"/>
      <c r="O25" s="28"/>
      <c r="P25" s="23"/>
      <c r="Q25" s="28"/>
      <c r="R25" s="23"/>
      <c r="S25" s="27"/>
      <c r="T25" s="27">
        <v>413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707.4</v>
      </c>
      <c r="AE25" s="28">
        <f t="shared" si="3"/>
        <v>1151.4</v>
      </c>
    </row>
    <row r="26" spans="1:31" ht="15.75">
      <c r="A26" s="3" t="s">
        <v>1</v>
      </c>
      <c r="B26" s="23">
        <f>223+40</f>
        <v>263</v>
      </c>
      <c r="C26" s="23">
        <v>39.8</v>
      </c>
      <c r="D26" s="23"/>
      <c r="E26" s="23"/>
      <c r="F26" s="23"/>
      <c r="G26" s="23"/>
      <c r="H26" s="23"/>
      <c r="I26" s="23">
        <v>101.2</v>
      </c>
      <c r="J26" s="27"/>
      <c r="K26" s="23"/>
      <c r="L26" s="23"/>
      <c r="M26" s="23">
        <v>13.6</v>
      </c>
      <c r="N26" s="23"/>
      <c r="O26" s="28"/>
      <c r="P26" s="23">
        <v>80.7</v>
      </c>
      <c r="Q26" s="28"/>
      <c r="R26" s="23"/>
      <c r="S26" s="27">
        <v>12.8</v>
      </c>
      <c r="T26" s="27">
        <v>47.1</v>
      </c>
      <c r="U26" s="27"/>
      <c r="V26" s="23"/>
      <c r="W26" s="27">
        <v>47.1</v>
      </c>
      <c r="X26" s="27"/>
      <c r="Y26" s="27"/>
      <c r="Z26" s="23"/>
      <c r="AA26" s="23"/>
      <c r="AB26" s="23"/>
      <c r="AC26" s="23"/>
      <c r="AD26" s="28">
        <f t="shared" si="1"/>
        <v>302.5</v>
      </c>
      <c r="AE26" s="28">
        <f t="shared" si="3"/>
        <v>0.30000000000001137</v>
      </c>
    </row>
    <row r="27" spans="1:31" ht="15.75">
      <c r="A27" s="3" t="s">
        <v>2</v>
      </c>
      <c r="B27" s="23">
        <f>3819.1-99.9-43.9</f>
        <v>3675.2999999999997</v>
      </c>
      <c r="C27" s="23">
        <v>3055.4</v>
      </c>
      <c r="D27" s="23">
        <v>55.7</v>
      </c>
      <c r="E27" s="23"/>
      <c r="F27" s="23"/>
      <c r="G27" s="23"/>
      <c r="H27" s="23"/>
      <c r="I27" s="23">
        <v>270.1</v>
      </c>
      <c r="J27" s="27"/>
      <c r="K27" s="23"/>
      <c r="L27" s="23"/>
      <c r="M27" s="23"/>
      <c r="N27" s="23"/>
      <c r="O27" s="28"/>
      <c r="P27" s="23"/>
      <c r="Q27" s="28"/>
      <c r="R27" s="23"/>
      <c r="S27" s="27">
        <v>550</v>
      </c>
      <c r="T27" s="27">
        <v>852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1727.8</v>
      </c>
      <c r="AE27" s="28">
        <f t="shared" si="3"/>
        <v>5002.9</v>
      </c>
    </row>
    <row r="28" spans="1:31" ht="15.75">
      <c r="A28" s="3" t="s">
        <v>17</v>
      </c>
      <c r="B28" s="23">
        <f>88.3</f>
        <v>88.3</v>
      </c>
      <c r="C28" s="23">
        <v>45.4</v>
      </c>
      <c r="D28" s="23"/>
      <c r="E28" s="23"/>
      <c r="F28" s="23"/>
      <c r="G28" s="23"/>
      <c r="H28" s="23"/>
      <c r="I28" s="23">
        <v>7.4</v>
      </c>
      <c r="J28" s="27"/>
      <c r="K28" s="23">
        <v>54.3</v>
      </c>
      <c r="L28" s="23"/>
      <c r="M28" s="23"/>
      <c r="N28" s="23">
        <v>52.3</v>
      </c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114</v>
      </c>
      <c r="AE28" s="28">
        <f t="shared" si="3"/>
        <v>19.69999999999999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1427.8000000000009</v>
      </c>
      <c r="C30" s="23">
        <f t="shared" si="5"/>
        <v>1145.3000000000002</v>
      </c>
      <c r="D30" s="23">
        <f t="shared" si="5"/>
        <v>119.89999999999999</v>
      </c>
      <c r="E30" s="23">
        <f t="shared" si="5"/>
        <v>0</v>
      </c>
      <c r="F30" s="23">
        <f t="shared" si="5"/>
        <v>0</v>
      </c>
      <c r="G30" s="23">
        <f t="shared" si="5"/>
        <v>339.7999999999993</v>
      </c>
      <c r="H30" s="23">
        <f t="shared" si="5"/>
        <v>66.7</v>
      </c>
      <c r="I30" s="23">
        <f t="shared" si="5"/>
        <v>-2.3092638912203256E-14</v>
      </c>
      <c r="J30" s="23">
        <f t="shared" si="5"/>
        <v>21.1</v>
      </c>
      <c r="K30" s="23">
        <f t="shared" si="5"/>
        <v>1.4210854715202004E-14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240.6</v>
      </c>
      <c r="P30" s="23">
        <f t="shared" si="5"/>
        <v>0</v>
      </c>
      <c r="Q30" s="23">
        <f t="shared" si="5"/>
        <v>0</v>
      </c>
      <c r="R30" s="23">
        <f t="shared" si="5"/>
        <v>33</v>
      </c>
      <c r="S30" s="23">
        <f t="shared" si="5"/>
        <v>193</v>
      </c>
      <c r="T30" s="23">
        <f t="shared" si="5"/>
        <v>26.800000000000068</v>
      </c>
      <c r="U30" s="23">
        <f t="shared" si="5"/>
        <v>529.3999999999996</v>
      </c>
      <c r="V30" s="23">
        <f t="shared" si="5"/>
        <v>365.79999999999995</v>
      </c>
      <c r="W30" s="23">
        <f t="shared" si="5"/>
        <v>6.200000000000003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1942.299999999999</v>
      </c>
      <c r="AE30" s="28">
        <f>AE23-AE24-AE25-AE26-AE27-AE28-AE29</f>
        <v>630.7999999999954</v>
      </c>
    </row>
    <row r="31" spans="1:31" ht="15" customHeight="1">
      <c r="A31" s="4" t="s">
        <v>8</v>
      </c>
      <c r="B31" s="23">
        <f>165.3+35</f>
        <v>200.3</v>
      </c>
      <c r="C31" s="23">
        <v>121.4</v>
      </c>
      <c r="D31" s="23"/>
      <c r="E31" s="23"/>
      <c r="F31" s="23"/>
      <c r="G31" s="23"/>
      <c r="H31" s="23"/>
      <c r="I31" s="23"/>
      <c r="J31" s="27"/>
      <c r="K31" s="23"/>
      <c r="L31" s="23">
        <v>53.5</v>
      </c>
      <c r="M31" s="23"/>
      <c r="N31" s="23"/>
      <c r="O31" s="28">
        <v>3.5</v>
      </c>
      <c r="P31" s="23"/>
      <c r="Q31" s="28"/>
      <c r="R31" s="23">
        <v>1.2</v>
      </c>
      <c r="S31" s="27">
        <v>41.6</v>
      </c>
      <c r="T31" s="27">
        <v>26.2</v>
      </c>
      <c r="U31" s="27">
        <v>82.1</v>
      </c>
      <c r="V31" s="27">
        <v>18.8</v>
      </c>
      <c r="W31" s="27">
        <v>72.7</v>
      </c>
      <c r="X31" s="27"/>
      <c r="Y31" s="27"/>
      <c r="Z31" s="23"/>
      <c r="AA31" s="23"/>
      <c r="AB31" s="23"/>
      <c r="AC31" s="23"/>
      <c r="AD31" s="28">
        <f t="shared" si="1"/>
        <v>299.6</v>
      </c>
      <c r="AE31" s="28">
        <f aca="true" t="shared" si="6" ref="AE31:AE36">B31+C31-AD31</f>
        <v>22.100000000000023</v>
      </c>
    </row>
    <row r="32" spans="1:31" ht="15.75">
      <c r="A32" s="3" t="s">
        <v>5</v>
      </c>
      <c r="B32" s="23">
        <f>101.7+22.6</f>
        <v>124.30000000000001</v>
      </c>
      <c r="C32" s="23">
        <v>21.5</v>
      </c>
      <c r="D32" s="23"/>
      <c r="E32" s="23"/>
      <c r="F32" s="23"/>
      <c r="G32" s="23"/>
      <c r="H32" s="23"/>
      <c r="I32" s="23"/>
      <c r="J32" s="27"/>
      <c r="K32" s="23"/>
      <c r="L32" s="23">
        <v>52.8</v>
      </c>
      <c r="M32" s="23"/>
      <c r="N32" s="23"/>
      <c r="O32" s="23"/>
      <c r="P32" s="23"/>
      <c r="Q32" s="28"/>
      <c r="R32" s="23"/>
      <c r="S32" s="27"/>
      <c r="T32" s="27"/>
      <c r="U32" s="27">
        <v>77.1</v>
      </c>
      <c r="V32" s="27">
        <v>4</v>
      </c>
      <c r="W32" s="27"/>
      <c r="X32" s="27"/>
      <c r="Y32" s="27"/>
      <c r="Z32" s="23"/>
      <c r="AA32" s="23"/>
      <c r="AB32" s="23"/>
      <c r="AC32" s="23"/>
      <c r="AD32" s="28">
        <f t="shared" si="1"/>
        <v>133.89999999999998</v>
      </c>
      <c r="AE32" s="28">
        <f t="shared" si="6"/>
        <v>11.900000000000034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60.7-22.6</f>
        <v>38.1</v>
      </c>
      <c r="C34" s="23">
        <v>84.4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>
        <v>41.6</v>
      </c>
      <c r="T34" s="27">
        <v>5.1</v>
      </c>
      <c r="U34" s="23"/>
      <c r="V34" s="27"/>
      <c r="W34" s="27">
        <v>72.7</v>
      </c>
      <c r="X34" s="27"/>
      <c r="Y34" s="27"/>
      <c r="Z34" s="23"/>
      <c r="AA34" s="23"/>
      <c r="AB34" s="23"/>
      <c r="AC34" s="23"/>
      <c r="AD34" s="28">
        <f t="shared" si="1"/>
        <v>119.4</v>
      </c>
      <c r="AE34" s="28">
        <f t="shared" si="6"/>
        <v>3.0999999999999943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37.9</v>
      </c>
      <c r="C37" s="23">
        <f t="shared" si="7"/>
        <v>15.5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0.7000000000000028</v>
      </c>
      <c r="M37" s="23">
        <f t="shared" si="7"/>
        <v>0</v>
      </c>
      <c r="N37" s="23">
        <f t="shared" si="7"/>
        <v>0</v>
      </c>
      <c r="O37" s="23">
        <f t="shared" si="7"/>
        <v>3.5</v>
      </c>
      <c r="P37" s="23">
        <f t="shared" si="7"/>
        <v>0</v>
      </c>
      <c r="Q37" s="23">
        <f t="shared" si="7"/>
        <v>0</v>
      </c>
      <c r="R37" s="23">
        <f t="shared" si="7"/>
        <v>1.2</v>
      </c>
      <c r="S37" s="23">
        <f t="shared" si="7"/>
        <v>0</v>
      </c>
      <c r="T37" s="23">
        <f t="shared" si="7"/>
        <v>21.1</v>
      </c>
      <c r="U37" s="23">
        <f t="shared" si="7"/>
        <v>5</v>
      </c>
      <c r="V37" s="23">
        <f t="shared" si="7"/>
        <v>14.8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46.300000000000004</v>
      </c>
      <c r="AE37" s="28">
        <f>AE31-AE32-AE34-AE36-AE33-AE35</f>
        <v>7.099999999999994</v>
      </c>
    </row>
    <row r="38" spans="1:31" ht="15" customHeight="1">
      <c r="A38" s="4" t="s">
        <v>35</v>
      </c>
      <c r="B38" s="23">
        <v>519.5</v>
      </c>
      <c r="C38" s="23">
        <v>256.6</v>
      </c>
      <c r="D38" s="23">
        <v>5</v>
      </c>
      <c r="E38" s="23"/>
      <c r="F38" s="23"/>
      <c r="G38" s="23"/>
      <c r="H38" s="23">
        <v>3.5</v>
      </c>
      <c r="I38" s="23"/>
      <c r="J38" s="27"/>
      <c r="K38" s="23">
        <v>197.2</v>
      </c>
      <c r="L38" s="23"/>
      <c r="M38" s="23"/>
      <c r="N38" s="23"/>
      <c r="O38" s="28">
        <v>0.1</v>
      </c>
      <c r="P38" s="23">
        <v>4.4</v>
      </c>
      <c r="Q38" s="28"/>
      <c r="R38" s="28"/>
      <c r="S38" s="27">
        <v>32.3</v>
      </c>
      <c r="T38" s="27"/>
      <c r="U38" s="27">
        <v>9.9</v>
      </c>
      <c r="V38" s="23">
        <v>331.1</v>
      </c>
      <c r="W38" s="27">
        <v>94.1</v>
      </c>
      <c r="X38" s="27"/>
      <c r="Y38" s="27"/>
      <c r="Z38" s="23"/>
      <c r="AA38" s="23"/>
      <c r="AB38" s="23"/>
      <c r="AC38" s="23"/>
      <c r="AD38" s="28">
        <f t="shared" si="1"/>
        <v>677.6</v>
      </c>
      <c r="AE38" s="28">
        <f aca="true" t="shared" si="8" ref="AE38:AE43">B38+C38-AD38</f>
        <v>98.5</v>
      </c>
    </row>
    <row r="39" spans="1:32" ht="15.75">
      <c r="A39" s="3" t="s">
        <v>5</v>
      </c>
      <c r="B39" s="23">
        <v>425.6</v>
      </c>
      <c r="C39" s="23">
        <v>67.8</v>
      </c>
      <c r="D39" s="23"/>
      <c r="E39" s="23"/>
      <c r="F39" s="23"/>
      <c r="G39" s="23"/>
      <c r="H39" s="23"/>
      <c r="I39" s="23"/>
      <c r="J39" s="27"/>
      <c r="K39" s="23">
        <v>197.2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>
        <v>284.7</v>
      </c>
      <c r="W39" s="27"/>
      <c r="X39" s="27"/>
      <c r="Y39" s="27"/>
      <c r="Z39" s="23"/>
      <c r="AA39" s="23"/>
      <c r="AB39" s="23"/>
      <c r="AC39" s="23"/>
      <c r="AD39" s="28">
        <f t="shared" si="1"/>
        <v>481.9</v>
      </c>
      <c r="AE39" s="28">
        <f t="shared" si="8"/>
        <v>11.500000000000057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8.4</v>
      </c>
      <c r="C41" s="23">
        <v>5.4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>
        <v>4.4</v>
      </c>
      <c r="Q41" s="28"/>
      <c r="R41" s="23"/>
      <c r="S41" s="27"/>
      <c r="T41" s="27"/>
      <c r="U41" s="27"/>
      <c r="V41" s="23"/>
      <c r="W41" s="27">
        <v>5</v>
      </c>
      <c r="X41" s="27"/>
      <c r="Y41" s="27"/>
      <c r="Z41" s="23"/>
      <c r="AA41" s="23"/>
      <c r="AB41" s="23"/>
      <c r="AC41" s="23"/>
      <c r="AD41" s="28">
        <f t="shared" si="1"/>
        <v>9.4</v>
      </c>
      <c r="AE41" s="28">
        <f t="shared" si="8"/>
        <v>4.4</v>
      </c>
    </row>
    <row r="42" spans="1:31" ht="15.75">
      <c r="A42" s="3" t="s">
        <v>2</v>
      </c>
      <c r="B42" s="23">
        <v>63.9</v>
      </c>
      <c r="C42" s="23">
        <v>76.3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>
        <v>32.3</v>
      </c>
      <c r="T42" s="27"/>
      <c r="U42" s="27"/>
      <c r="V42" s="23"/>
      <c r="W42" s="27">
        <v>84.5</v>
      </c>
      <c r="X42" s="27"/>
      <c r="Y42" s="27"/>
      <c r="Z42" s="23"/>
      <c r="AA42" s="23"/>
      <c r="AB42" s="23"/>
      <c r="AC42" s="23"/>
      <c r="AD42" s="28">
        <f t="shared" si="1"/>
        <v>116.8</v>
      </c>
      <c r="AE42" s="28">
        <f t="shared" si="8"/>
        <v>23.39999999999999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21.599999999999973</v>
      </c>
      <c r="C44" s="23">
        <f t="shared" si="9"/>
        <v>107.10000000000001</v>
      </c>
      <c r="D44" s="23">
        <f t="shared" si="9"/>
        <v>5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3.5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0.1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9.9</v>
      </c>
      <c r="V44" s="23">
        <f t="shared" si="9"/>
        <v>46.400000000000034</v>
      </c>
      <c r="W44" s="23">
        <f t="shared" si="9"/>
        <v>4.599999999999994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69.50000000000003</v>
      </c>
      <c r="AE44" s="28">
        <f>AE38-AE39-AE40-AE41-AE42-AE43</f>
        <v>59.199999999999946</v>
      </c>
    </row>
    <row r="45" spans="1:31" ht="15" customHeight="1">
      <c r="A45" s="4" t="s">
        <v>15</v>
      </c>
      <c r="B45" s="37">
        <f>477.4-51-140+4.4</f>
        <v>290.79999999999995</v>
      </c>
      <c r="C45" s="23">
        <v>1284.5</v>
      </c>
      <c r="D45" s="23">
        <v>26.6</v>
      </c>
      <c r="E45" s="29"/>
      <c r="F45" s="29">
        <v>22.8</v>
      </c>
      <c r="G45" s="29"/>
      <c r="H45" s="29"/>
      <c r="I45" s="29"/>
      <c r="J45" s="30"/>
      <c r="K45" s="29">
        <v>104.4</v>
      </c>
      <c r="L45" s="29"/>
      <c r="M45" s="29">
        <v>110.6</v>
      </c>
      <c r="N45" s="29">
        <v>44</v>
      </c>
      <c r="O45" s="32"/>
      <c r="P45" s="29">
        <v>10.1</v>
      </c>
      <c r="Q45" s="29"/>
      <c r="R45" s="29">
        <v>55.8</v>
      </c>
      <c r="S45" s="30">
        <f>182.4-32.3</f>
        <v>150.10000000000002</v>
      </c>
      <c r="T45" s="30">
        <v>149.4</v>
      </c>
      <c r="U45" s="29"/>
      <c r="V45" s="29">
        <v>77.9</v>
      </c>
      <c r="W45" s="30">
        <v>19.5</v>
      </c>
      <c r="X45" s="30"/>
      <c r="Y45" s="30"/>
      <c r="Z45" s="29"/>
      <c r="AA45" s="29"/>
      <c r="AB45" s="29"/>
      <c r="AC45" s="29"/>
      <c r="AD45" s="28">
        <f t="shared" si="1"/>
        <v>771.2</v>
      </c>
      <c r="AE45" s="28">
        <f>B45+C45-AD45</f>
        <v>804.0999999999999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437.9-51-140-1.2+4.4</f>
        <v>250.1</v>
      </c>
      <c r="C47" s="23">
        <v>1255.4</v>
      </c>
      <c r="D47" s="23">
        <v>26.6</v>
      </c>
      <c r="E47" s="23"/>
      <c r="F47" s="23">
        <v>20.1</v>
      </c>
      <c r="G47" s="23"/>
      <c r="H47" s="23"/>
      <c r="I47" s="23"/>
      <c r="J47" s="27"/>
      <c r="K47" s="23">
        <v>104.1</v>
      </c>
      <c r="L47" s="23"/>
      <c r="M47" s="23">
        <v>110.4</v>
      </c>
      <c r="N47" s="23">
        <v>43.6</v>
      </c>
      <c r="O47" s="28"/>
      <c r="P47" s="23">
        <v>10</v>
      </c>
      <c r="Q47" s="23"/>
      <c r="R47" s="23">
        <v>55.1</v>
      </c>
      <c r="S47" s="27">
        <v>112.6</v>
      </c>
      <c r="T47" s="27">
        <v>149.4</v>
      </c>
      <c r="U47" s="23"/>
      <c r="V47" s="23">
        <v>75.2</v>
      </c>
      <c r="W47" s="27">
        <v>18.2</v>
      </c>
      <c r="X47" s="27"/>
      <c r="Y47" s="27"/>
      <c r="Z47" s="23"/>
      <c r="AA47" s="23"/>
      <c r="AB47" s="23"/>
      <c r="AC47" s="23"/>
      <c r="AD47" s="28">
        <f t="shared" si="1"/>
        <v>725.3000000000002</v>
      </c>
      <c r="AE47" s="28">
        <f>B47+C47-AD47</f>
        <v>780.1999999999998</v>
      </c>
    </row>
    <row r="48" spans="1:31" ht="30">
      <c r="A48" s="65" t="s">
        <v>63</v>
      </c>
      <c r="B48" s="23">
        <v>46.4</v>
      </c>
      <c r="C48" s="23">
        <v>172.8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>
        <v>4.1</v>
      </c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4.1</v>
      </c>
      <c r="AE48" s="28">
        <f>B48+C48-AD48</f>
        <v>215.10000000000002</v>
      </c>
    </row>
    <row r="49" spans="1:31" ht="15.75">
      <c r="A49" s="64" t="s">
        <v>26</v>
      </c>
      <c r="B49" s="23">
        <f aca="true" t="shared" si="10" ref="B49:AB49">B45-B46-B47</f>
        <v>40.69999999999996</v>
      </c>
      <c r="C49" s="23">
        <f t="shared" si="10"/>
        <v>29.09999999999991</v>
      </c>
      <c r="D49" s="23">
        <f t="shared" si="10"/>
        <v>0</v>
      </c>
      <c r="E49" s="23">
        <f t="shared" si="10"/>
        <v>0</v>
      </c>
      <c r="F49" s="23">
        <f t="shared" si="10"/>
        <v>2.6999999999999993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0.30000000000001137</v>
      </c>
      <c r="L49" s="23">
        <f t="shared" si="10"/>
        <v>0</v>
      </c>
      <c r="M49" s="23">
        <f t="shared" si="10"/>
        <v>0.19999999999998863</v>
      </c>
      <c r="N49" s="23">
        <f t="shared" si="10"/>
        <v>0.3999999999999986</v>
      </c>
      <c r="O49" s="23">
        <f t="shared" si="10"/>
        <v>0</v>
      </c>
      <c r="P49" s="23">
        <f t="shared" si="10"/>
        <v>0.09999999999999964</v>
      </c>
      <c r="Q49" s="23">
        <f t="shared" si="10"/>
        <v>0</v>
      </c>
      <c r="R49" s="23">
        <f t="shared" si="10"/>
        <v>0.6999999999999957</v>
      </c>
      <c r="S49" s="23">
        <f t="shared" si="10"/>
        <v>37.50000000000003</v>
      </c>
      <c r="T49" s="23">
        <f t="shared" si="10"/>
        <v>0</v>
      </c>
      <c r="U49" s="23">
        <f t="shared" si="10"/>
        <v>0</v>
      </c>
      <c r="V49" s="23">
        <f t="shared" si="10"/>
        <v>2.700000000000003</v>
      </c>
      <c r="W49" s="23">
        <f t="shared" si="10"/>
        <v>1.3000000000000007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45.90000000000002</v>
      </c>
      <c r="AE49" s="28">
        <f>AE45-AE47-AE46</f>
        <v>23.90000000000009</v>
      </c>
    </row>
    <row r="50" spans="1:31" ht="15" customHeight="1">
      <c r="A50" s="4" t="s">
        <v>0</v>
      </c>
      <c r="B50" s="23">
        <f>2306.5-200</f>
        <v>2106.5</v>
      </c>
      <c r="C50" s="23">
        <v>7988.1</v>
      </c>
      <c r="D50" s="23">
        <v>450</v>
      </c>
      <c r="E50" s="23"/>
      <c r="F50" s="23">
        <v>100</v>
      </c>
      <c r="G50" s="23"/>
      <c r="H50" s="23">
        <v>50</v>
      </c>
      <c r="I50" s="23">
        <v>383.1</v>
      </c>
      <c r="J50" s="27"/>
      <c r="K50" s="23"/>
      <c r="L50" s="23">
        <v>70</v>
      </c>
      <c r="M50" s="23"/>
      <c r="N50" s="23"/>
      <c r="O50" s="28">
        <v>106.2</v>
      </c>
      <c r="P50" s="23">
        <v>100</v>
      </c>
      <c r="Q50" s="23"/>
      <c r="R50" s="23">
        <v>300</v>
      </c>
      <c r="S50" s="27"/>
      <c r="T50" s="27">
        <v>300</v>
      </c>
      <c r="U50" s="27">
        <v>200</v>
      </c>
      <c r="V50" s="23">
        <v>1189.8</v>
      </c>
      <c r="W50" s="27">
        <v>1023.6</v>
      </c>
      <c r="X50" s="27"/>
      <c r="Y50" s="27"/>
      <c r="Z50" s="23"/>
      <c r="AA50" s="23"/>
      <c r="AB50" s="23"/>
      <c r="AC50" s="23"/>
      <c r="AD50" s="28">
        <f t="shared" si="1"/>
        <v>4272.700000000001</v>
      </c>
      <c r="AE50" s="28">
        <f aca="true" t="shared" si="11" ref="AE50:AE56">B50+C50-AD50</f>
        <v>5821.9</v>
      </c>
    </row>
    <row r="51" spans="1:32" ht="15" customHeight="1">
      <c r="A51" s="4" t="s">
        <v>9</v>
      </c>
      <c r="B51" s="45">
        <f>2471+277-0.1</f>
        <v>2747.9</v>
      </c>
      <c r="C51" s="23">
        <v>1430.5</v>
      </c>
      <c r="D51" s="23">
        <v>16.2</v>
      </c>
      <c r="E51" s="23">
        <v>80</v>
      </c>
      <c r="F51" s="23">
        <v>118</v>
      </c>
      <c r="G51" s="23"/>
      <c r="H51" s="23"/>
      <c r="I51" s="23">
        <v>2.3</v>
      </c>
      <c r="J51" s="27"/>
      <c r="K51" s="23">
        <v>41.2</v>
      </c>
      <c r="L51" s="23">
        <v>1181.7</v>
      </c>
      <c r="M51" s="23">
        <v>195</v>
      </c>
      <c r="N51" s="23">
        <v>139.2</v>
      </c>
      <c r="O51" s="28">
        <v>30.3</v>
      </c>
      <c r="P51" s="23"/>
      <c r="Q51" s="28"/>
      <c r="R51" s="23"/>
      <c r="S51" s="27">
        <v>250</v>
      </c>
      <c r="T51" s="27">
        <v>323.7</v>
      </c>
      <c r="U51" s="27">
        <v>1129.7</v>
      </c>
      <c r="V51" s="23">
        <v>65.2</v>
      </c>
      <c r="W51" s="27">
        <v>11.2</v>
      </c>
      <c r="X51" s="27"/>
      <c r="Y51" s="27"/>
      <c r="Z51" s="23"/>
      <c r="AA51" s="23"/>
      <c r="AB51" s="23"/>
      <c r="AC51" s="23"/>
      <c r="AD51" s="28">
        <f t="shared" si="1"/>
        <v>3583.7</v>
      </c>
      <c r="AE51" s="23">
        <f t="shared" si="11"/>
        <v>594.6999999999998</v>
      </c>
      <c r="AF51" s="6"/>
    </row>
    <row r="52" spans="1:32" ht="15.75">
      <c r="A52" s="3" t="s">
        <v>5</v>
      </c>
      <c r="B52" s="23">
        <f>1677.1+89.3</f>
        <v>1766.3999999999999</v>
      </c>
      <c r="C52" s="23">
        <v>584.7</v>
      </c>
      <c r="D52" s="23"/>
      <c r="E52" s="23"/>
      <c r="F52" s="23"/>
      <c r="G52" s="23"/>
      <c r="H52" s="23"/>
      <c r="I52" s="23"/>
      <c r="J52" s="27"/>
      <c r="K52" s="23"/>
      <c r="L52" s="23">
        <v>1164.4</v>
      </c>
      <c r="M52" s="23">
        <v>68.2</v>
      </c>
      <c r="N52" s="23"/>
      <c r="O52" s="28"/>
      <c r="P52" s="23"/>
      <c r="Q52" s="28"/>
      <c r="R52" s="23"/>
      <c r="S52" s="27"/>
      <c r="T52" s="27"/>
      <c r="U52" s="27">
        <v>1109.4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2342</v>
      </c>
      <c r="AE52" s="23">
        <f t="shared" si="11"/>
        <v>9.099999999999909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309.8-2.2-75.6</f>
        <v>232.00000000000003</v>
      </c>
      <c r="C54" s="23">
        <v>620.1</v>
      </c>
      <c r="D54" s="23">
        <v>6.2</v>
      </c>
      <c r="E54" s="23"/>
      <c r="F54" s="23"/>
      <c r="G54" s="23"/>
      <c r="H54" s="23"/>
      <c r="I54" s="23">
        <v>2.3</v>
      </c>
      <c r="J54" s="27"/>
      <c r="K54" s="23"/>
      <c r="L54" s="23"/>
      <c r="M54" s="23">
        <v>0.1</v>
      </c>
      <c r="N54" s="23"/>
      <c r="O54" s="28"/>
      <c r="P54" s="23"/>
      <c r="Q54" s="28"/>
      <c r="R54" s="23"/>
      <c r="S54" s="27"/>
      <c r="T54" s="27">
        <v>290.1</v>
      </c>
      <c r="U54" s="27"/>
      <c r="V54" s="23"/>
      <c r="W54" s="27">
        <v>4.9</v>
      </c>
      <c r="X54" s="27"/>
      <c r="Y54" s="27"/>
      <c r="Z54" s="23"/>
      <c r="AA54" s="23"/>
      <c r="AB54" s="23"/>
      <c r="AC54" s="23"/>
      <c r="AD54" s="28">
        <f t="shared" si="1"/>
        <v>303.6</v>
      </c>
      <c r="AE54" s="23">
        <f t="shared" si="11"/>
        <v>548.5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>
        <v>3.4</v>
      </c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746.1000000000003</v>
      </c>
      <c r="C57" s="23">
        <f t="shared" si="12"/>
        <v>225.69999999999993</v>
      </c>
      <c r="D57" s="23">
        <f t="shared" si="12"/>
        <v>10</v>
      </c>
      <c r="E57" s="23">
        <f t="shared" si="12"/>
        <v>80</v>
      </c>
      <c r="F57" s="23">
        <f t="shared" si="12"/>
        <v>118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41.2</v>
      </c>
      <c r="L57" s="23">
        <f t="shared" si="12"/>
        <v>17.299999999999955</v>
      </c>
      <c r="M57" s="23">
        <f t="shared" si="12"/>
        <v>126.7</v>
      </c>
      <c r="N57" s="23">
        <f t="shared" si="12"/>
        <v>135.79999999999998</v>
      </c>
      <c r="O57" s="23">
        <f t="shared" si="12"/>
        <v>30.3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250</v>
      </c>
      <c r="T57" s="23">
        <f t="shared" si="12"/>
        <v>33.599999999999966</v>
      </c>
      <c r="U57" s="23">
        <f t="shared" si="12"/>
        <v>20.299999999999955</v>
      </c>
      <c r="V57" s="23">
        <f t="shared" si="12"/>
        <v>65.2</v>
      </c>
      <c r="W57" s="23">
        <f t="shared" si="12"/>
        <v>6.299999999999999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934.6999999999998</v>
      </c>
      <c r="AE57" s="23">
        <f>AE51-AE52-AE54-AE56-AE53-AE55</f>
        <v>37.09999999999991</v>
      </c>
    </row>
    <row r="58" spans="1:31" ht="15" customHeight="1">
      <c r="A58" s="4" t="s">
        <v>10</v>
      </c>
      <c r="B58" s="23">
        <v>27.9</v>
      </c>
      <c r="C58" s="23">
        <f>267.9-150</f>
        <v>117.89999999999998</v>
      </c>
      <c r="D58" s="23"/>
      <c r="E58" s="23"/>
      <c r="F58" s="23"/>
      <c r="G58" s="23"/>
      <c r="H58" s="23"/>
      <c r="I58" s="23">
        <v>21.2</v>
      </c>
      <c r="J58" s="27"/>
      <c r="K58" s="23"/>
      <c r="L58" s="23"/>
      <c r="M58" s="23"/>
      <c r="N58" s="23"/>
      <c r="O58" s="28"/>
      <c r="P58" s="23"/>
      <c r="Q58" s="28"/>
      <c r="R58" s="23"/>
      <c r="S58" s="27">
        <v>35.7</v>
      </c>
      <c r="T58" s="27"/>
      <c r="U58" s="27"/>
      <c r="V58" s="23">
        <v>34</v>
      </c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90.9</v>
      </c>
      <c r="AE58" s="23">
        <f aca="true" t="shared" si="14" ref="AE58:AE64">B58+C58-AD58</f>
        <v>54.89999999999998</v>
      </c>
    </row>
    <row r="59" spans="1:31" ht="15" customHeight="1">
      <c r="A59" s="4" t="s">
        <v>11</v>
      </c>
      <c r="B59" s="23">
        <f>1063-35</f>
        <v>1028</v>
      </c>
      <c r="C59" s="23">
        <v>602.7</v>
      </c>
      <c r="D59" s="23">
        <v>27.7</v>
      </c>
      <c r="E59" s="23"/>
      <c r="F59" s="23"/>
      <c r="G59" s="23"/>
      <c r="H59" s="23">
        <v>0.7</v>
      </c>
      <c r="I59" s="23">
        <v>8.6</v>
      </c>
      <c r="J59" s="27"/>
      <c r="K59" s="23"/>
      <c r="L59" s="23">
        <v>274.8</v>
      </c>
      <c r="M59" s="23">
        <v>14.1</v>
      </c>
      <c r="N59" s="23">
        <v>68.4</v>
      </c>
      <c r="O59" s="28"/>
      <c r="P59" s="23">
        <v>5.4</v>
      </c>
      <c r="Q59" s="28"/>
      <c r="R59" s="23"/>
      <c r="S59" s="27">
        <v>96.6</v>
      </c>
      <c r="T59" s="27">
        <v>107.3</v>
      </c>
      <c r="U59" s="27">
        <v>146.6</v>
      </c>
      <c r="V59" s="23">
        <f>97.4-5.3</f>
        <v>92.10000000000001</v>
      </c>
      <c r="W59" s="27">
        <v>565.4</v>
      </c>
      <c r="X59" s="27"/>
      <c r="Y59" s="27"/>
      <c r="Z59" s="23"/>
      <c r="AA59" s="23"/>
      <c r="AB59" s="23"/>
      <c r="AC59" s="23"/>
      <c r="AD59" s="28">
        <f t="shared" si="13"/>
        <v>1407.7</v>
      </c>
      <c r="AE59" s="23">
        <f t="shared" si="14"/>
        <v>223</v>
      </c>
    </row>
    <row r="60" spans="1:32" ht="15.75">
      <c r="A60" s="3" t="s">
        <v>5</v>
      </c>
      <c r="B60" s="23">
        <f>621.2+171.8</f>
        <v>793</v>
      </c>
      <c r="C60" s="23">
        <v>3.2</v>
      </c>
      <c r="D60" s="23"/>
      <c r="E60" s="23"/>
      <c r="F60" s="23"/>
      <c r="G60" s="23"/>
      <c r="H60" s="23"/>
      <c r="I60" s="23"/>
      <c r="J60" s="27"/>
      <c r="K60" s="23"/>
      <c r="L60" s="23">
        <v>274.8</v>
      </c>
      <c r="M60" s="23"/>
      <c r="N60" s="23"/>
      <c r="O60" s="28"/>
      <c r="P60" s="23"/>
      <c r="Q60" s="28"/>
      <c r="R60" s="23"/>
      <c r="S60" s="27"/>
      <c r="T60" s="27"/>
      <c r="U60" s="27">
        <v>25.1</v>
      </c>
      <c r="V60" s="23"/>
      <c r="W60" s="27">
        <v>489.2</v>
      </c>
      <c r="X60" s="27"/>
      <c r="Y60" s="27"/>
      <c r="Z60" s="23"/>
      <c r="AA60" s="23"/>
      <c r="AB60" s="23"/>
      <c r="AC60" s="23"/>
      <c r="AD60" s="28">
        <f t="shared" si="13"/>
        <v>789.1</v>
      </c>
      <c r="AE60" s="23">
        <f t="shared" si="14"/>
        <v>7.100000000000023</v>
      </c>
      <c r="AF60" s="66"/>
    </row>
    <row r="61" spans="1:32" ht="15.75">
      <c r="A61" s="3" t="s">
        <v>3</v>
      </c>
      <c r="B61" s="23">
        <v>0</v>
      </c>
      <c r="C61" s="23">
        <v>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2.8</v>
      </c>
      <c r="T61" s="27"/>
      <c r="U61" s="27"/>
      <c r="V61" s="23"/>
      <c r="W61" s="27">
        <v>33.6</v>
      </c>
      <c r="X61" s="27"/>
      <c r="Y61" s="27"/>
      <c r="Z61" s="23"/>
      <c r="AA61" s="23"/>
      <c r="AB61" s="23"/>
      <c r="AC61" s="23"/>
      <c r="AD61" s="28">
        <f t="shared" si="13"/>
        <v>36.4</v>
      </c>
      <c r="AE61" s="23">
        <f t="shared" si="14"/>
        <v>-33.5</v>
      </c>
      <c r="AF61" s="6"/>
    </row>
    <row r="62" spans="1:32" ht="15.75">
      <c r="A62" s="3" t="s">
        <v>1</v>
      </c>
      <c r="B62" s="23">
        <f>35.2-15</f>
        <v>20.200000000000003</v>
      </c>
      <c r="C62" s="23">
        <f>94.4-50</f>
        <v>44.400000000000006</v>
      </c>
      <c r="D62" s="23">
        <v>2.7</v>
      </c>
      <c r="E62" s="23"/>
      <c r="F62" s="23"/>
      <c r="G62" s="23"/>
      <c r="H62" s="23"/>
      <c r="I62" s="23"/>
      <c r="J62" s="27"/>
      <c r="K62" s="23"/>
      <c r="L62" s="23"/>
      <c r="M62" s="23">
        <v>12.5</v>
      </c>
      <c r="N62" s="23"/>
      <c r="O62" s="28"/>
      <c r="P62" s="23"/>
      <c r="Q62" s="28"/>
      <c r="R62" s="23"/>
      <c r="S62" s="27">
        <v>12.3</v>
      </c>
      <c r="T62" s="27">
        <v>0.3</v>
      </c>
      <c r="U62" s="27"/>
      <c r="V62" s="23"/>
      <c r="W62" s="27">
        <v>10.8</v>
      </c>
      <c r="X62" s="27"/>
      <c r="Y62" s="27"/>
      <c r="Z62" s="23"/>
      <c r="AA62" s="23"/>
      <c r="AB62" s="23"/>
      <c r="AC62" s="23"/>
      <c r="AD62" s="28">
        <f t="shared" si="13"/>
        <v>38.6</v>
      </c>
      <c r="AE62" s="23">
        <f t="shared" si="14"/>
        <v>26.000000000000007</v>
      </c>
      <c r="AF62" s="6"/>
    </row>
    <row r="63" spans="1:31" ht="15.75">
      <c r="A63" s="3" t="s">
        <v>2</v>
      </c>
      <c r="B63" s="23">
        <f>133.9-59.8</f>
        <v>74.10000000000001</v>
      </c>
      <c r="C63" s="23">
        <v>120.8</v>
      </c>
      <c r="D63" s="23">
        <v>0.1</v>
      </c>
      <c r="E63" s="23"/>
      <c r="F63" s="23"/>
      <c r="G63" s="23"/>
      <c r="H63" s="23"/>
      <c r="I63" s="23">
        <v>3.9</v>
      </c>
      <c r="J63" s="27"/>
      <c r="K63" s="23"/>
      <c r="L63" s="23"/>
      <c r="M63" s="23">
        <v>1.6</v>
      </c>
      <c r="N63" s="23"/>
      <c r="O63" s="28"/>
      <c r="P63" s="23"/>
      <c r="Q63" s="23"/>
      <c r="R63" s="23"/>
      <c r="S63" s="27">
        <v>51.2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56.800000000000004</v>
      </c>
      <c r="AE63" s="23">
        <f t="shared" si="14"/>
        <v>138.1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140.7</v>
      </c>
      <c r="C65" s="23">
        <f t="shared" si="15"/>
        <v>431.4</v>
      </c>
      <c r="D65" s="23">
        <f t="shared" si="15"/>
        <v>24.9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0.7</v>
      </c>
      <c r="I65" s="23">
        <f t="shared" si="15"/>
        <v>4.699999999999999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68.4</v>
      </c>
      <c r="O65" s="23">
        <f t="shared" si="15"/>
        <v>0</v>
      </c>
      <c r="P65" s="23">
        <f t="shared" si="15"/>
        <v>5.4</v>
      </c>
      <c r="Q65" s="23">
        <f t="shared" si="15"/>
        <v>0</v>
      </c>
      <c r="R65" s="23">
        <f t="shared" si="15"/>
        <v>0</v>
      </c>
      <c r="S65" s="23">
        <f t="shared" si="15"/>
        <v>30.299999999999994</v>
      </c>
      <c r="T65" s="23">
        <f t="shared" si="15"/>
        <v>107</v>
      </c>
      <c r="U65" s="23">
        <f t="shared" si="15"/>
        <v>121.5</v>
      </c>
      <c r="V65" s="23">
        <f t="shared" si="15"/>
        <v>92.10000000000001</v>
      </c>
      <c r="W65" s="23">
        <f t="shared" si="15"/>
        <v>31.79999999999999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486.8</v>
      </c>
      <c r="AE65" s="23">
        <f>AE59-AE60-AE63-AE64-AE62-AE61</f>
        <v>85.29999999999998</v>
      </c>
    </row>
    <row r="66" spans="1:31" ht="31.5">
      <c r="A66" s="4" t="s">
        <v>34</v>
      </c>
      <c r="B66" s="23">
        <v>19.7</v>
      </c>
      <c r="C66" s="23">
        <v>460.1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21.9</v>
      </c>
      <c r="U66" s="23">
        <v>275.9</v>
      </c>
      <c r="V66" s="27"/>
      <c r="W66" s="27">
        <v>101.7</v>
      </c>
      <c r="X66" s="27"/>
      <c r="Y66" s="27"/>
      <c r="Z66" s="23"/>
      <c r="AA66" s="23"/>
      <c r="AB66" s="23"/>
      <c r="AC66" s="23"/>
      <c r="AD66" s="28">
        <f t="shared" si="13"/>
        <v>399.49999999999994</v>
      </c>
      <c r="AE66" s="31">
        <f aca="true" t="shared" si="16" ref="AE66:AE78">B66+C66-AD66</f>
        <v>80.30000000000007</v>
      </c>
    </row>
    <row r="67" spans="1:31" ht="15.75">
      <c r="A67" s="4" t="s">
        <v>43</v>
      </c>
      <c r="B67" s="23">
        <v>6.4</v>
      </c>
      <c r="C67" s="23">
        <f>14.4-9.6</f>
        <v>4.800000000000001</v>
      </c>
      <c r="D67" s="23"/>
      <c r="E67" s="23"/>
      <c r="F67" s="23"/>
      <c r="G67" s="23">
        <v>5.5</v>
      </c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>
        <v>2.7</v>
      </c>
      <c r="T67" s="27"/>
      <c r="U67" s="23"/>
      <c r="V67" s="27">
        <v>2.7</v>
      </c>
      <c r="W67" s="27"/>
      <c r="X67" s="27"/>
      <c r="Y67" s="27"/>
      <c r="Z67" s="23"/>
      <c r="AA67" s="23"/>
      <c r="AB67" s="23"/>
      <c r="AC67" s="23"/>
      <c r="AD67" s="28">
        <f t="shared" si="13"/>
        <v>10.899999999999999</v>
      </c>
      <c r="AE67" s="31">
        <f t="shared" si="16"/>
        <v>0.3000000000000025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414.2-42.8-35-4.8-50</f>
        <v>281.59999999999997</v>
      </c>
      <c r="C69" s="23">
        <f>2558.7-355.8</f>
        <v>2202.8999999999996</v>
      </c>
      <c r="D69" s="23">
        <v>7.7</v>
      </c>
      <c r="E69" s="23"/>
      <c r="F69" s="23">
        <v>79.3</v>
      </c>
      <c r="G69" s="23">
        <v>5.3</v>
      </c>
      <c r="H69" s="23"/>
      <c r="I69" s="23">
        <v>39</v>
      </c>
      <c r="J69" s="27"/>
      <c r="K69" s="23">
        <v>10.5</v>
      </c>
      <c r="L69" s="23">
        <v>0.2</v>
      </c>
      <c r="M69" s="23"/>
      <c r="N69" s="23">
        <v>2.9</v>
      </c>
      <c r="O69" s="23"/>
      <c r="P69" s="23">
        <v>27.5</v>
      </c>
      <c r="Q69" s="28"/>
      <c r="R69" s="23">
        <v>13.5</v>
      </c>
      <c r="S69" s="27">
        <v>312.8</v>
      </c>
      <c r="T69" s="27">
        <f>1.9+187.3</f>
        <v>189.20000000000002</v>
      </c>
      <c r="U69" s="27">
        <v>3.7</v>
      </c>
      <c r="V69" s="23">
        <v>97.9</v>
      </c>
      <c r="W69" s="27">
        <v>901.3</v>
      </c>
      <c r="X69" s="27"/>
      <c r="Y69" s="27"/>
      <c r="Z69" s="23"/>
      <c r="AA69" s="23"/>
      <c r="AB69" s="23"/>
      <c r="AC69" s="23"/>
      <c r="AD69" s="28">
        <f t="shared" si="13"/>
        <v>1690.8000000000002</v>
      </c>
      <c r="AE69" s="31">
        <f t="shared" si="16"/>
        <v>793.6999999999994</v>
      </c>
    </row>
    <row r="70" spans="1:31" ht="15" customHeight="1">
      <c r="A70" s="3" t="s">
        <v>5</v>
      </c>
      <c r="B70" s="23">
        <v>0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>
        <v>13.5</v>
      </c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v>160</v>
      </c>
      <c r="C71" s="23">
        <v>383.4</v>
      </c>
      <c r="D71" s="23"/>
      <c r="E71" s="23"/>
      <c r="F71" s="23"/>
      <c r="G71" s="23"/>
      <c r="H71" s="23"/>
      <c r="I71" s="23">
        <v>33.9</v>
      </c>
      <c r="J71" s="27"/>
      <c r="K71" s="23">
        <v>1.1</v>
      </c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35</v>
      </c>
      <c r="AE71" s="31">
        <f t="shared" si="16"/>
        <v>508.4</v>
      </c>
    </row>
    <row r="72" spans="1:31" s="11" customFormat="1" ht="31.5">
      <c r="A72" s="12" t="s">
        <v>21</v>
      </c>
      <c r="B72" s="23">
        <f>129.8-3.5</f>
        <v>126.30000000000001</v>
      </c>
      <c r="C72" s="23">
        <v>697.1</v>
      </c>
      <c r="D72" s="23">
        <v>53</v>
      </c>
      <c r="E72" s="29"/>
      <c r="F72" s="29">
        <v>9.7</v>
      </c>
      <c r="G72" s="29"/>
      <c r="H72" s="29"/>
      <c r="I72" s="29">
        <v>23</v>
      </c>
      <c r="J72" s="30"/>
      <c r="K72" s="29">
        <v>0.7</v>
      </c>
      <c r="L72" s="29"/>
      <c r="M72" s="29"/>
      <c r="N72" s="29"/>
      <c r="O72" s="29"/>
      <c r="P72" s="29"/>
      <c r="Q72" s="32"/>
      <c r="R72" s="29"/>
      <c r="S72" s="30"/>
      <c r="T72" s="30">
        <v>10.2</v>
      </c>
      <c r="U72" s="29">
        <v>35.7</v>
      </c>
      <c r="V72" s="30">
        <v>80</v>
      </c>
      <c r="W72" s="30"/>
      <c r="X72" s="30"/>
      <c r="Y72" s="30"/>
      <c r="Z72" s="29"/>
      <c r="AA72" s="29"/>
      <c r="AB72" s="29"/>
      <c r="AC72" s="29"/>
      <c r="AD72" s="28">
        <f t="shared" si="13"/>
        <v>212.3</v>
      </c>
      <c r="AE72" s="31">
        <f t="shared" si="16"/>
        <v>611.1000000000001</v>
      </c>
    </row>
    <row r="73" spans="1:31" s="11" customFormat="1" ht="15.75">
      <c r="A73" s="3" t="s">
        <v>5</v>
      </c>
      <c r="B73" s="23">
        <f>57+1.2</f>
        <v>58.2</v>
      </c>
      <c r="C73" s="23">
        <v>0.1</v>
      </c>
      <c r="D73" s="23"/>
      <c r="E73" s="29"/>
      <c r="F73" s="29"/>
      <c r="G73" s="29"/>
      <c r="H73" s="29"/>
      <c r="I73" s="29">
        <v>22.6</v>
      </c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35.7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58.300000000000004</v>
      </c>
      <c r="AE73" s="31">
        <f t="shared" si="16"/>
        <v>0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>
        <v>70</v>
      </c>
      <c r="W74" s="30"/>
      <c r="X74" s="30"/>
      <c r="Y74" s="30"/>
      <c r="Z74" s="29"/>
      <c r="AA74" s="29"/>
      <c r="AB74" s="29"/>
      <c r="AC74" s="29"/>
      <c r="AD74" s="28">
        <f t="shared" si="13"/>
        <v>70</v>
      </c>
      <c r="AE74" s="31">
        <f t="shared" si="16"/>
        <v>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f>4.5-1.2</f>
        <v>3.3</v>
      </c>
      <c r="C76" s="23">
        <v>7.5</v>
      </c>
      <c r="D76" s="23"/>
      <c r="E76" s="29"/>
      <c r="F76" s="29"/>
      <c r="G76" s="29"/>
      <c r="H76" s="29"/>
      <c r="I76" s="29">
        <v>0.4</v>
      </c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>
        <v>10.2</v>
      </c>
      <c r="U76" s="29"/>
      <c r="V76" s="30">
        <v>0.1</v>
      </c>
      <c r="W76" s="30"/>
      <c r="X76" s="30"/>
      <c r="Y76" s="30"/>
      <c r="Z76" s="29"/>
      <c r="AA76" s="29"/>
      <c r="AB76" s="29"/>
      <c r="AC76" s="29"/>
      <c r="AD76" s="28">
        <f t="shared" si="13"/>
        <v>10.7</v>
      </c>
      <c r="AE76" s="31">
        <f t="shared" si="16"/>
        <v>0.10000000000000142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33.4</v>
      </c>
      <c r="C87" s="23">
        <f>366.6-94</f>
        <v>272.6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306</v>
      </c>
      <c r="AF87" s="11"/>
    </row>
    <row r="88" spans="1:32" ht="15.75">
      <c r="A88" s="4" t="s">
        <v>39</v>
      </c>
      <c r="B88" s="23">
        <v>0</v>
      </c>
      <c r="C88" s="23">
        <v>10.6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68903.99999999999</v>
      </c>
      <c r="C90" s="43">
        <f t="shared" si="18"/>
        <v>33282.7</v>
      </c>
      <c r="D90" s="43">
        <f t="shared" si="18"/>
        <v>1508.5000000000002</v>
      </c>
      <c r="E90" s="43">
        <f t="shared" si="18"/>
        <v>103.6</v>
      </c>
      <c r="F90" s="43">
        <f t="shared" si="18"/>
        <v>455.3</v>
      </c>
      <c r="G90" s="43">
        <f t="shared" si="18"/>
        <v>8825.199999999999</v>
      </c>
      <c r="H90" s="43">
        <f t="shared" si="18"/>
        <v>383.29999999999995</v>
      </c>
      <c r="I90" s="43">
        <f t="shared" si="18"/>
        <v>961.8000000000001</v>
      </c>
      <c r="J90" s="43">
        <f t="shared" si="18"/>
        <v>596.9</v>
      </c>
      <c r="K90" s="43">
        <f t="shared" si="18"/>
        <v>894.8</v>
      </c>
      <c r="L90" s="43">
        <f t="shared" si="18"/>
        <v>16396.7</v>
      </c>
      <c r="M90" s="43">
        <f t="shared" si="18"/>
        <v>865.8000000000001</v>
      </c>
      <c r="N90" s="43">
        <f t="shared" si="18"/>
        <v>839.3</v>
      </c>
      <c r="O90" s="43">
        <f t="shared" si="18"/>
        <v>398.40000000000003</v>
      </c>
      <c r="P90" s="43">
        <f t="shared" si="18"/>
        <v>492.9</v>
      </c>
      <c r="Q90" s="43">
        <f t="shared" si="18"/>
        <v>0</v>
      </c>
      <c r="R90" s="43">
        <f t="shared" si="18"/>
        <v>729.7</v>
      </c>
      <c r="S90" s="43">
        <f t="shared" si="18"/>
        <v>3272.1</v>
      </c>
      <c r="T90" s="43">
        <f t="shared" si="18"/>
        <v>3710</v>
      </c>
      <c r="U90" s="43">
        <f t="shared" si="18"/>
        <v>22668.2</v>
      </c>
      <c r="V90" s="43">
        <f t="shared" si="18"/>
        <v>5013.3</v>
      </c>
      <c r="W90" s="43">
        <f t="shared" si="18"/>
        <v>5113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73228.8</v>
      </c>
      <c r="AE90" s="60">
        <f>AE10+AE15+AE23+AE31+AE45+AE50+AE51+AE58+AE59+AE66+AE68+AE69+AE72+AE77+AE78+AE79+AE84+AE85+AE86+AE87+AE67+AE38+AE88</f>
        <v>28957.899999999987</v>
      </c>
    </row>
    <row r="91" spans="1:31" ht="15.75">
      <c r="A91" s="3" t="s">
        <v>5</v>
      </c>
      <c r="B91" s="23">
        <f aca="true" t="shared" si="19" ref="B91:AB91">B11+B16+B24+B32+B52+B60+B70+B39+B73</f>
        <v>48526.399999999994</v>
      </c>
      <c r="C91" s="23">
        <f t="shared" si="19"/>
        <v>2196.4</v>
      </c>
      <c r="D91" s="23">
        <f t="shared" si="19"/>
        <v>0</v>
      </c>
      <c r="E91" s="23">
        <f t="shared" si="19"/>
        <v>3.4</v>
      </c>
      <c r="F91" s="23">
        <f t="shared" si="19"/>
        <v>1.1</v>
      </c>
      <c r="G91" s="23">
        <f t="shared" si="19"/>
        <v>8474.6</v>
      </c>
      <c r="H91" s="23">
        <f t="shared" si="19"/>
        <v>1.8</v>
      </c>
      <c r="I91" s="23">
        <f t="shared" si="19"/>
        <v>34.3</v>
      </c>
      <c r="J91" s="23">
        <f t="shared" si="19"/>
        <v>275.8</v>
      </c>
      <c r="K91" s="23">
        <f t="shared" si="19"/>
        <v>472</v>
      </c>
      <c r="L91" s="23">
        <f t="shared" si="19"/>
        <v>16238.399999999998</v>
      </c>
      <c r="M91" s="23">
        <f t="shared" si="19"/>
        <v>179.5</v>
      </c>
      <c r="N91" s="23">
        <f t="shared" si="19"/>
        <v>3.5</v>
      </c>
      <c r="O91" s="23">
        <f t="shared" si="19"/>
        <v>0</v>
      </c>
      <c r="P91" s="23">
        <f t="shared" si="19"/>
        <v>0.1</v>
      </c>
      <c r="Q91" s="23">
        <f t="shared" si="19"/>
        <v>0</v>
      </c>
      <c r="R91" s="23">
        <f t="shared" si="19"/>
        <v>54.8</v>
      </c>
      <c r="S91" s="23">
        <f t="shared" si="19"/>
        <v>0</v>
      </c>
      <c r="T91" s="23">
        <f t="shared" si="19"/>
        <v>0</v>
      </c>
      <c r="U91" s="23">
        <f t="shared" si="19"/>
        <v>21171.8</v>
      </c>
      <c r="V91" s="23">
        <f t="shared" si="19"/>
        <v>2441</v>
      </c>
      <c r="W91" s="23">
        <f t="shared" si="19"/>
        <v>1206.8999999999999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50558.99999999999</v>
      </c>
      <c r="AE91" s="28">
        <f>B91+C91-AD91</f>
        <v>163.8000000000029</v>
      </c>
    </row>
    <row r="92" spans="1:31" ht="15.75">
      <c r="A92" s="3" t="s">
        <v>2</v>
      </c>
      <c r="B92" s="23">
        <f aca="true" t="shared" si="20" ref="B92:X92">B12+B19+B27+B34+B54+B63+B42+B76+B71</f>
        <v>10901.099999999999</v>
      </c>
      <c r="C92" s="23">
        <f t="shared" si="20"/>
        <v>12550.499999999998</v>
      </c>
      <c r="D92" s="23">
        <f t="shared" si="20"/>
        <v>186.89999999999998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369.09999999999997</v>
      </c>
      <c r="J92" s="23">
        <f t="shared" si="20"/>
        <v>0</v>
      </c>
      <c r="K92" s="23">
        <f t="shared" si="20"/>
        <v>1.1</v>
      </c>
      <c r="L92" s="23">
        <f t="shared" si="20"/>
        <v>0</v>
      </c>
      <c r="M92" s="23">
        <f t="shared" si="20"/>
        <v>19.1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21.9</v>
      </c>
      <c r="S92" s="23">
        <f t="shared" si="20"/>
        <v>1908.1999999999998</v>
      </c>
      <c r="T92" s="23">
        <f t="shared" si="20"/>
        <v>2397.3999999999996</v>
      </c>
      <c r="U92" s="23">
        <f t="shared" si="20"/>
        <v>0</v>
      </c>
      <c r="V92" s="23">
        <f t="shared" si="20"/>
        <v>0.1</v>
      </c>
      <c r="W92" s="23">
        <f t="shared" si="20"/>
        <v>672.5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5576.299999999999</v>
      </c>
      <c r="AE92" s="28">
        <f>B92+C92-AD92</f>
        <v>17875.3</v>
      </c>
    </row>
    <row r="93" spans="1:31" ht="15.75">
      <c r="A93" s="3" t="s">
        <v>3</v>
      </c>
      <c r="B93" s="23">
        <f aca="true" t="shared" si="21" ref="B93:Y93">B17+B25+B40+B61+B74</f>
        <v>483.79999999999995</v>
      </c>
      <c r="C93" s="23">
        <f t="shared" si="21"/>
        <v>1461.9</v>
      </c>
      <c r="D93" s="23">
        <f t="shared" si="21"/>
        <v>94.4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201.6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1.1</v>
      </c>
      <c r="S93" s="23">
        <f t="shared" si="21"/>
        <v>2.8</v>
      </c>
      <c r="T93" s="23">
        <f t="shared" si="21"/>
        <v>413</v>
      </c>
      <c r="U93" s="23">
        <f t="shared" si="21"/>
        <v>0</v>
      </c>
      <c r="V93" s="23">
        <f t="shared" si="21"/>
        <v>70</v>
      </c>
      <c r="W93" s="23">
        <f t="shared" si="21"/>
        <v>33.6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816.5000000000001</v>
      </c>
      <c r="AE93" s="28">
        <f>B93+C93-AD93</f>
        <v>1129.1999999999998</v>
      </c>
    </row>
    <row r="94" spans="1:31" ht="15.75">
      <c r="A94" s="3" t="s">
        <v>1</v>
      </c>
      <c r="B94" s="23">
        <f aca="true" t="shared" si="22" ref="B94:Y94">B18+B26+B62+B33+B41+B53+B46+B75</f>
        <v>3137.4999999999995</v>
      </c>
      <c r="C94" s="23">
        <f t="shared" si="22"/>
        <v>832.1999999999999</v>
      </c>
      <c r="D94" s="23">
        <f t="shared" si="22"/>
        <v>290.09999999999997</v>
      </c>
      <c r="E94" s="23">
        <f t="shared" si="22"/>
        <v>0</v>
      </c>
      <c r="F94" s="23">
        <f t="shared" si="22"/>
        <v>100</v>
      </c>
      <c r="G94" s="23">
        <f t="shared" si="22"/>
        <v>0</v>
      </c>
      <c r="H94" s="23">
        <f t="shared" si="22"/>
        <v>250</v>
      </c>
      <c r="I94" s="23">
        <f t="shared" si="22"/>
        <v>101.2</v>
      </c>
      <c r="J94" s="23">
        <f t="shared" si="22"/>
        <v>300</v>
      </c>
      <c r="K94" s="23">
        <f t="shared" si="22"/>
        <v>0</v>
      </c>
      <c r="L94" s="23">
        <f t="shared" si="22"/>
        <v>0</v>
      </c>
      <c r="M94" s="23">
        <f t="shared" si="22"/>
        <v>426.1</v>
      </c>
      <c r="N94" s="23">
        <f t="shared" si="22"/>
        <v>528.6</v>
      </c>
      <c r="O94" s="23">
        <f t="shared" si="22"/>
        <v>0</v>
      </c>
      <c r="P94" s="23">
        <f t="shared" si="22"/>
        <v>332.09999999999997</v>
      </c>
      <c r="Q94" s="23">
        <f t="shared" si="22"/>
        <v>0</v>
      </c>
      <c r="R94" s="23">
        <f t="shared" si="22"/>
        <v>244.3</v>
      </c>
      <c r="S94" s="23">
        <f t="shared" si="22"/>
        <v>240.40000000000003</v>
      </c>
      <c r="T94" s="23">
        <f t="shared" si="22"/>
        <v>47.4</v>
      </c>
      <c r="U94" s="23">
        <f t="shared" si="22"/>
        <v>118.9</v>
      </c>
      <c r="V94" s="23">
        <f t="shared" si="22"/>
        <v>0</v>
      </c>
      <c r="W94" s="23">
        <f t="shared" si="22"/>
        <v>792.6999999999999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3771.8</v>
      </c>
      <c r="AE94" s="28">
        <f>B94+C94-AD94</f>
        <v>197.89999999999918</v>
      </c>
    </row>
    <row r="95" spans="1:31" ht="15.75">
      <c r="A95" s="3" t="s">
        <v>17</v>
      </c>
      <c r="B95" s="23">
        <f aca="true" t="shared" si="23" ref="B95:AB95">B20+B28+B47+B35+B55+B13</f>
        <v>349.29999999999995</v>
      </c>
      <c r="C95" s="23">
        <f t="shared" si="23"/>
        <v>1338</v>
      </c>
      <c r="D95" s="23">
        <f t="shared" si="23"/>
        <v>26.6</v>
      </c>
      <c r="E95" s="23">
        <f t="shared" si="23"/>
        <v>0</v>
      </c>
      <c r="F95" s="23">
        <f t="shared" si="23"/>
        <v>20.1</v>
      </c>
      <c r="G95" s="23">
        <f t="shared" si="23"/>
        <v>0</v>
      </c>
      <c r="H95" s="23">
        <f t="shared" si="23"/>
        <v>0</v>
      </c>
      <c r="I95" s="23">
        <f t="shared" si="23"/>
        <v>22.1</v>
      </c>
      <c r="J95" s="23">
        <f t="shared" si="23"/>
        <v>0</v>
      </c>
      <c r="K95" s="23">
        <f t="shared" si="23"/>
        <v>158.39999999999998</v>
      </c>
      <c r="L95" s="23">
        <f t="shared" si="23"/>
        <v>0</v>
      </c>
      <c r="M95" s="23">
        <f t="shared" si="23"/>
        <v>114.2</v>
      </c>
      <c r="N95" s="23">
        <f t="shared" si="23"/>
        <v>99.30000000000001</v>
      </c>
      <c r="O95" s="23">
        <f t="shared" si="23"/>
        <v>0</v>
      </c>
      <c r="P95" s="23">
        <f t="shared" si="23"/>
        <v>10</v>
      </c>
      <c r="Q95" s="23">
        <f t="shared" si="23"/>
        <v>0</v>
      </c>
      <c r="R95" s="23">
        <f t="shared" si="23"/>
        <v>55.1</v>
      </c>
      <c r="S95" s="23">
        <f t="shared" si="23"/>
        <v>112.6</v>
      </c>
      <c r="T95" s="23">
        <f t="shared" si="23"/>
        <v>149.4</v>
      </c>
      <c r="U95" s="23">
        <f t="shared" si="23"/>
        <v>0</v>
      </c>
      <c r="V95" s="23">
        <f t="shared" si="23"/>
        <v>75.2</v>
      </c>
      <c r="W95" s="23">
        <f t="shared" si="23"/>
        <v>18.2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861.2</v>
      </c>
      <c r="AE95" s="28">
        <f>B95+C95-AD95</f>
        <v>826.0999999999999</v>
      </c>
    </row>
    <row r="96" spans="1:31" ht="12.75">
      <c r="A96" s="1" t="s">
        <v>72</v>
      </c>
      <c r="B96" s="2">
        <f>B90-B91-B92-B93-B94-B95</f>
        <v>5505.899999999993</v>
      </c>
      <c r="C96" s="2">
        <f aca="true" t="shared" si="24" ref="C96:AE96">C90-C91-C92-C93-C94-C95</f>
        <v>14903.699999999993</v>
      </c>
      <c r="D96" s="2">
        <f t="shared" si="24"/>
        <v>910.5000000000003</v>
      </c>
      <c r="E96" s="2">
        <f t="shared" si="24"/>
        <v>100.19999999999999</v>
      </c>
      <c r="F96" s="2">
        <f t="shared" si="24"/>
        <v>334.09999999999997</v>
      </c>
      <c r="G96" s="2">
        <f t="shared" si="24"/>
        <v>350.59999999999854</v>
      </c>
      <c r="H96" s="2">
        <f t="shared" si="24"/>
        <v>131.49999999999994</v>
      </c>
      <c r="I96" s="2">
        <f t="shared" si="24"/>
        <v>435.1000000000001</v>
      </c>
      <c r="J96" s="2">
        <f t="shared" si="24"/>
        <v>21.099999999999966</v>
      </c>
      <c r="K96" s="2">
        <f t="shared" si="24"/>
        <v>61.69999999999996</v>
      </c>
      <c r="L96" s="2">
        <f t="shared" si="24"/>
        <v>158.3000000000029</v>
      </c>
      <c r="M96" s="2">
        <f t="shared" si="24"/>
        <v>126.90000000000002</v>
      </c>
      <c r="N96" s="2">
        <f t="shared" si="24"/>
        <v>207.89999999999992</v>
      </c>
      <c r="O96" s="2">
        <f t="shared" si="24"/>
        <v>398.40000000000003</v>
      </c>
      <c r="P96" s="2">
        <f t="shared" si="24"/>
        <v>150.7</v>
      </c>
      <c r="Q96" s="2">
        <f t="shared" si="24"/>
        <v>0</v>
      </c>
      <c r="R96" s="2">
        <f t="shared" si="24"/>
        <v>352.50000000000006</v>
      </c>
      <c r="S96" s="2">
        <f t="shared" si="24"/>
        <v>1008.1</v>
      </c>
      <c r="T96" s="2">
        <f t="shared" si="24"/>
        <v>702.8000000000004</v>
      </c>
      <c r="U96" s="2">
        <f t="shared" si="24"/>
        <v>1377.5000000000014</v>
      </c>
      <c r="V96" s="2">
        <f t="shared" si="24"/>
        <v>2427.0000000000005</v>
      </c>
      <c r="W96" s="2">
        <f t="shared" si="24"/>
        <v>2389.100000000001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11644.000000000011</v>
      </c>
      <c r="AE96" s="2">
        <f t="shared" si="24"/>
        <v>8765.599999999984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2014-12-25T14:46:19Z</cp:lastPrinted>
  <dcterms:created xsi:type="dcterms:W3CDTF">2002-11-05T08:53:00Z</dcterms:created>
  <dcterms:modified xsi:type="dcterms:W3CDTF">2014-12-29T05:46:15Z</dcterms:modified>
  <cp:category/>
  <cp:version/>
  <cp:contentType/>
  <cp:contentStatus/>
</cp:coreProperties>
</file>